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Mijn documenten\Hergebruik IenW\"/>
    </mc:Choice>
  </mc:AlternateContent>
  <xr:revisionPtr revIDLastSave="0" documentId="13_ncr:1_{B586E86B-644C-42BE-8B81-5877DF0079E4}" xr6:coauthVersionLast="47" xr6:coauthVersionMax="47" xr10:uidLastSave="{00000000-0000-0000-0000-000000000000}"/>
  <bookViews>
    <workbookView xWindow="-120" yWindow="-120" windowWidth="29040" windowHeight="15720" activeTab="1" xr2:uid="{00000000-000D-0000-FFFF-FFFF00000000}"/>
  </bookViews>
  <sheets>
    <sheet name="1. Leeswijzer" sheetId="18" r:id="rId1"/>
    <sheet name="2. Toelichting score en vragen" sheetId="17" r:id="rId2"/>
    <sheet name="3. Scan" sheetId="1" r:id="rId3"/>
    <sheet name="4. Dashboard" sheetId="14" r:id="rId4"/>
    <sheet name="5. Risico en impact" sheetId="15" r:id="rId5"/>
    <sheet name="6. Overzicht Risico Functie" sheetId="8" r:id="rId6"/>
    <sheet name="7. Modeleisen DUTO" sheetId="6" r:id="rId7"/>
    <sheet name="8. Randvoorwaarden DUTO" sheetId="7" r:id="rId8"/>
    <sheet name="Analyse" sheetId="3" state="hidden" r:id="rId9"/>
  </sheets>
  <definedNames>
    <definedName name="_xlnm._FilterDatabase" localSheetId="2" hidden="1">'3. Scan'!$I$1:$I$60</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T39" i="14" l="1"/>
  <c r="J53" i="1"/>
  <c r="K53" i="1" s="1"/>
  <c r="J54" i="1"/>
  <c r="K54" i="1" s="1"/>
  <c r="J55" i="1"/>
  <c r="K55" i="1" s="1"/>
  <c r="J56" i="1"/>
  <c r="K56" i="1" s="1"/>
  <c r="J52" i="1"/>
  <c r="K52" i="1" s="1"/>
  <c r="P98" i="14"/>
  <c r="P99" i="14"/>
  <c r="P100" i="14"/>
  <c r="P101" i="14"/>
  <c r="P102" i="14"/>
  <c r="P103" i="14"/>
  <c r="P104" i="14"/>
  <c r="P105" i="14"/>
  <c r="P106" i="14"/>
  <c r="P107" i="14"/>
  <c r="P108" i="14"/>
  <c r="P109" i="14"/>
  <c r="P110" i="14"/>
  <c r="P111" i="14"/>
  <c r="P97" i="14"/>
  <c r="R98" i="14"/>
  <c r="R99" i="14"/>
  <c r="R100" i="14"/>
  <c r="R101" i="14"/>
  <c r="R102" i="14"/>
  <c r="R103" i="14"/>
  <c r="R104" i="14"/>
  <c r="R105" i="14"/>
  <c r="R106" i="14"/>
  <c r="R107" i="14"/>
  <c r="R108" i="14"/>
  <c r="R109" i="14"/>
  <c r="R110" i="14"/>
  <c r="R111" i="14"/>
  <c r="R97" i="14"/>
  <c r="AH75" i="14"/>
  <c r="C259" i="14" l="1" a="1"/>
  <c r="C259" i="14" s="1"/>
  <c r="C260" i="14" a="1"/>
  <c r="C260" i="14" s="1"/>
  <c r="C261" i="14" a="1"/>
  <c r="C261" i="14" s="1"/>
  <c r="C262" i="14" a="1"/>
  <c r="C262" i="14" s="1"/>
  <c r="C263" i="14" a="1"/>
  <c r="C263" i="14" s="1"/>
  <c r="C264" i="14" a="1"/>
  <c r="C264" i="14" s="1"/>
  <c r="C265" i="14" a="1"/>
  <c r="C265" i="14" s="1"/>
  <c r="C266" i="14" a="1"/>
  <c r="C266" i="14" s="1"/>
  <c r="C267" i="14" a="1"/>
  <c r="C267" i="14" s="1"/>
  <c r="C268" i="14" a="1"/>
  <c r="C268" i="14" s="1"/>
  <c r="C269" i="14" a="1"/>
  <c r="C269" i="14" s="1"/>
  <c r="C270" i="14" a="1"/>
  <c r="C270" i="14" s="1"/>
  <c r="C271" i="14" a="1"/>
  <c r="C271" i="14" s="1"/>
  <c r="C272" i="14" a="1"/>
  <c r="C272" i="14" s="1"/>
  <c r="C258" i="14" a="1"/>
  <c r="C258" i="14" s="1"/>
  <c r="D156" i="14"/>
  <c r="E156" i="14" s="1"/>
  <c r="D157" i="14"/>
  <c r="E157" i="14" s="1"/>
  <c r="D158" i="14"/>
  <c r="E158" i="14" s="1"/>
  <c r="D159" i="14"/>
  <c r="E159" i="14" s="1"/>
  <c r="D160" i="14"/>
  <c r="E160" i="14" s="1"/>
  <c r="D161" i="14"/>
  <c r="E161" i="14" s="1"/>
  <c r="D162" i="14"/>
  <c r="E162" i="14" s="1"/>
  <c r="D163" i="14"/>
  <c r="E163" i="14" s="1"/>
  <c r="D164" i="14"/>
  <c r="E164" i="14" s="1"/>
  <c r="D165" i="14"/>
  <c r="E165" i="14" s="1"/>
  <c r="D166" i="14"/>
  <c r="E166" i="14" s="1"/>
  <c r="D167" i="14"/>
  <c r="E167" i="14" s="1"/>
  <c r="D168" i="14"/>
  <c r="E168" i="14" s="1"/>
  <c r="D169" i="14"/>
  <c r="E169" i="14" s="1"/>
  <c r="D170" i="14"/>
  <c r="E170" i="14" s="1"/>
  <c r="D171" i="14"/>
  <c r="E171" i="14" s="1"/>
  <c r="D172" i="14"/>
  <c r="E172" i="14" s="1"/>
  <c r="D173" i="14"/>
  <c r="E173" i="14" s="1"/>
  <c r="D174" i="14"/>
  <c r="E174" i="14" s="1"/>
  <c r="D175" i="14"/>
  <c r="E175" i="14" s="1"/>
  <c r="D176" i="14"/>
  <c r="E176" i="14" s="1"/>
  <c r="D177" i="14"/>
  <c r="E177" i="14" s="1"/>
  <c r="D178" i="14"/>
  <c r="E178" i="14" s="1"/>
  <c r="D179" i="14"/>
  <c r="E179" i="14" s="1"/>
  <c r="D180" i="14"/>
  <c r="E180" i="14" s="1"/>
  <c r="D181" i="14"/>
  <c r="E181" i="14" s="1"/>
  <c r="D182" i="14"/>
  <c r="E182" i="14" s="1"/>
  <c r="D183" i="14"/>
  <c r="E183" i="14" s="1"/>
  <c r="D184" i="14"/>
  <c r="E184" i="14" s="1"/>
  <c r="D185" i="14"/>
  <c r="E185" i="14" s="1"/>
  <c r="D186" i="14"/>
  <c r="E186" i="14" s="1"/>
  <c r="D187" i="14"/>
  <c r="E187" i="14" s="1"/>
  <c r="D188" i="14"/>
  <c r="E188" i="14" s="1"/>
  <c r="D189" i="14"/>
  <c r="E189" i="14" s="1"/>
  <c r="D190" i="14"/>
  <c r="E190" i="14" s="1"/>
  <c r="D191" i="14"/>
  <c r="E191" i="14" s="1"/>
  <c r="D192" i="14"/>
  <c r="E192" i="14" s="1"/>
  <c r="D193" i="14"/>
  <c r="E193" i="14" s="1"/>
  <c r="D194" i="14"/>
  <c r="E194" i="14" s="1"/>
  <c r="D195" i="14"/>
  <c r="E195" i="14" s="1"/>
  <c r="D196" i="14"/>
  <c r="E196" i="14" s="1"/>
  <c r="D197" i="14"/>
  <c r="E197" i="14" s="1"/>
  <c r="D198" i="14"/>
  <c r="E198" i="14" s="1"/>
  <c r="D199" i="14"/>
  <c r="E199" i="14" s="1"/>
  <c r="D200" i="14"/>
  <c r="E200" i="14" s="1"/>
  <c r="D201" i="14"/>
  <c r="E201" i="14" s="1"/>
  <c r="D202" i="14"/>
  <c r="E202" i="14" s="1"/>
  <c r="D203" i="14"/>
  <c r="E203" i="14" s="1"/>
  <c r="D204" i="14"/>
  <c r="E204" i="14" s="1"/>
  <c r="D205" i="14"/>
  <c r="E205" i="14" s="1"/>
  <c r="D206" i="14"/>
  <c r="E206" i="14" s="1"/>
  <c r="D207" i="14"/>
  <c r="E207" i="14" s="1"/>
  <c r="D208" i="14"/>
  <c r="E208" i="14" s="1"/>
  <c r="D209" i="14"/>
  <c r="E209" i="14" s="1"/>
  <c r="D210" i="14"/>
  <c r="E210" i="14" s="1"/>
  <c r="D211" i="14"/>
  <c r="E211" i="14" s="1"/>
  <c r="D212" i="14"/>
  <c r="E212" i="14" s="1"/>
  <c r="D213" i="14"/>
  <c r="E213" i="14" s="1"/>
  <c r="D214" i="14"/>
  <c r="E214" i="14" s="1"/>
  <c r="D215" i="14"/>
  <c r="E215" i="14" s="1"/>
  <c r="D216" i="14"/>
  <c r="E216" i="14" s="1"/>
  <c r="D217" i="14"/>
  <c r="E217" i="14" s="1"/>
  <c r="D218" i="14"/>
  <c r="E218" i="14" s="1"/>
  <c r="D219" i="14"/>
  <c r="E219" i="14" s="1"/>
  <c r="D220" i="14"/>
  <c r="E220" i="14" s="1"/>
  <c r="D221" i="14"/>
  <c r="E221" i="14" s="1"/>
  <c r="D222" i="14"/>
  <c r="E222" i="14" s="1"/>
  <c r="D223" i="14"/>
  <c r="E223" i="14" s="1"/>
  <c r="D224" i="14"/>
  <c r="E224" i="14" s="1"/>
  <c r="D225" i="14"/>
  <c r="E225" i="14" s="1"/>
  <c r="D226" i="14"/>
  <c r="E226" i="14" s="1"/>
  <c r="D227" i="14"/>
  <c r="E227" i="14" s="1"/>
  <c r="D228" i="14"/>
  <c r="E228" i="14" s="1"/>
  <c r="D229" i="14"/>
  <c r="E229" i="14" s="1"/>
  <c r="D230" i="14"/>
  <c r="E230" i="14" s="1"/>
  <c r="D231" i="14"/>
  <c r="E231" i="14" s="1"/>
  <c r="D232" i="14"/>
  <c r="E232" i="14" s="1"/>
  <c r="D233" i="14"/>
  <c r="E233" i="14" s="1"/>
  <c r="D234" i="14"/>
  <c r="E234" i="14" s="1"/>
  <c r="D235" i="14"/>
  <c r="E235" i="14" s="1"/>
  <c r="D236" i="14"/>
  <c r="E236" i="14" s="1"/>
  <c r="D237" i="14"/>
  <c r="E237" i="14" s="1"/>
  <c r="D238" i="14"/>
  <c r="E238" i="14" s="1"/>
  <c r="D239" i="14"/>
  <c r="E239" i="14" s="1"/>
  <c r="D240" i="14"/>
  <c r="E240" i="14" s="1"/>
  <c r="D241" i="14"/>
  <c r="E241" i="14" s="1"/>
  <c r="D242" i="14"/>
  <c r="E242" i="14" s="1"/>
  <c r="D243" i="14"/>
  <c r="E243" i="14" s="1"/>
  <c r="D244" i="14"/>
  <c r="E244" i="14" s="1"/>
  <c r="D245" i="14"/>
  <c r="E245" i="14" s="1"/>
  <c r="D246" i="14"/>
  <c r="E246" i="14" s="1"/>
  <c r="D247" i="14"/>
  <c r="E247" i="14" s="1"/>
  <c r="D248" i="14"/>
  <c r="E248" i="14" s="1"/>
  <c r="D249" i="14"/>
  <c r="E249" i="14" s="1"/>
  <c r="D250" i="14"/>
  <c r="E250" i="14" s="1"/>
  <c r="D251" i="14"/>
  <c r="E251" i="14" s="1"/>
  <c r="D252" i="14"/>
  <c r="E252" i="14" s="1"/>
  <c r="D133" i="14"/>
  <c r="E133" i="14" s="1"/>
  <c r="D134" i="14"/>
  <c r="E134" i="14" s="1"/>
  <c r="D135" i="14"/>
  <c r="E135" i="14" s="1"/>
  <c r="D136" i="14"/>
  <c r="E136" i="14" s="1"/>
  <c r="D137" i="14"/>
  <c r="E137" i="14" s="1"/>
  <c r="D138" i="14"/>
  <c r="E138" i="14" s="1"/>
  <c r="D139" i="14"/>
  <c r="E139" i="14" s="1"/>
  <c r="D140" i="14"/>
  <c r="E140" i="14" s="1"/>
  <c r="D141" i="14"/>
  <c r="E141" i="14" s="1"/>
  <c r="D142" i="14"/>
  <c r="E142" i="14" s="1"/>
  <c r="D143" i="14"/>
  <c r="E143" i="14" s="1"/>
  <c r="D144" i="14"/>
  <c r="E144" i="14" s="1"/>
  <c r="D145" i="14"/>
  <c r="E145" i="14" s="1"/>
  <c r="D146" i="14"/>
  <c r="E146" i="14" s="1"/>
  <c r="D147" i="14"/>
  <c r="E147" i="14" s="1"/>
  <c r="D148" i="14"/>
  <c r="E148" i="14" s="1"/>
  <c r="D149" i="14"/>
  <c r="E149" i="14" s="1"/>
  <c r="D150" i="14"/>
  <c r="E150" i="14" s="1"/>
  <c r="D151" i="14"/>
  <c r="E151" i="14" s="1"/>
  <c r="D152" i="14"/>
  <c r="E152" i="14" s="1"/>
  <c r="D153" i="14"/>
  <c r="E153" i="14" s="1"/>
  <c r="D154" i="14"/>
  <c r="E154" i="14" s="1"/>
  <c r="D155" i="14"/>
  <c r="E155" i="14" s="1"/>
  <c r="C72" i="14"/>
  <c r="A6" i="14"/>
  <c r="A5" i="14"/>
  <c r="A4" i="14"/>
  <c r="A3" i="14"/>
  <c r="A2" i="14"/>
  <c r="J46" i="1"/>
  <c r="K46" i="1" s="1"/>
  <c r="J47" i="1"/>
  <c r="K47" i="1" s="1"/>
  <c r="J48" i="1"/>
  <c r="K48" i="1" s="1"/>
  <c r="J49" i="1"/>
  <c r="K49" i="1" s="1"/>
  <c r="J45" i="1"/>
  <c r="K45" i="1" s="1"/>
  <c r="J42" i="1"/>
  <c r="K42" i="1" s="1"/>
  <c r="J41" i="1"/>
  <c r="K41" i="1" s="1"/>
  <c r="J37" i="1"/>
  <c r="K37" i="1" s="1"/>
  <c r="J38" i="1"/>
  <c r="K38" i="1" s="1"/>
  <c r="J36" i="1"/>
  <c r="K36" i="1" s="1"/>
  <c r="J32" i="1"/>
  <c r="K32" i="1" s="1"/>
  <c r="J33" i="1"/>
  <c r="K33" i="1" s="1"/>
  <c r="J31" i="1"/>
  <c r="K31" i="1" s="1"/>
  <c r="J22" i="1"/>
  <c r="K22" i="1" s="1"/>
  <c r="J23" i="1"/>
  <c r="K23" i="1" s="1"/>
  <c r="J24" i="1"/>
  <c r="K24" i="1" s="1"/>
  <c r="B52" i="14" s="1"/>
  <c r="J25" i="1"/>
  <c r="K25" i="1" s="1"/>
  <c r="J26" i="1"/>
  <c r="K26" i="1" s="1"/>
  <c r="J27" i="1"/>
  <c r="K27" i="1" s="1"/>
  <c r="J28" i="1"/>
  <c r="K28" i="1" s="1"/>
  <c r="J21" i="1"/>
  <c r="K21" i="1" s="1"/>
  <c r="J17" i="1"/>
  <c r="K17" i="1" s="1"/>
  <c r="J18" i="1"/>
  <c r="K18" i="1" s="1"/>
  <c r="J16" i="1"/>
  <c r="K16" i="1" s="1"/>
  <c r="J11" i="1"/>
  <c r="K11" i="1" s="1"/>
  <c r="J12" i="1"/>
  <c r="K12" i="1" s="1"/>
  <c r="J13" i="1"/>
  <c r="K13" i="1" s="1"/>
  <c r="J10" i="1"/>
  <c r="K10" i="1" s="1"/>
  <c r="J7" i="1"/>
  <c r="K7" i="1" s="1"/>
  <c r="J5" i="1"/>
  <c r="K5" i="1" s="1"/>
  <c r="J6" i="1"/>
  <c r="K6" i="1" s="1"/>
  <c r="J4" i="1"/>
  <c r="K4" i="1" s="1"/>
  <c r="I1" i="1"/>
  <c r="B72" i="14" s="1"/>
  <c r="B25" i="3"/>
  <c r="B26" i="3"/>
  <c r="B27" i="3"/>
  <c r="B28" i="3"/>
  <c r="B29" i="3"/>
  <c r="B30" i="3"/>
  <c r="B14" i="3"/>
  <c r="B15" i="3"/>
  <c r="B31" i="14" l="1"/>
  <c r="C31" i="14" s="1"/>
  <c r="C69" i="14"/>
  <c r="B71" i="14"/>
  <c r="C71" i="14"/>
  <c r="D71" i="14" s="1"/>
  <c r="B33" i="14"/>
  <c r="C33" i="14" s="1"/>
  <c r="B53" i="14" a="1"/>
  <c r="B53" i="14" s="1"/>
  <c r="Q79" i="14" s="1"/>
  <c r="Q100" i="14" s="1"/>
  <c r="S100" i="14" s="1"/>
  <c r="T100" i="14" s="1"/>
  <c r="AT40" i="14" a="1"/>
  <c r="AT40" i="14" s="1"/>
  <c r="B50" i="14" a="1"/>
  <c r="B50" i="14" s="1"/>
  <c r="Q76" i="14" s="1"/>
  <c r="Q97" i="14" s="1"/>
  <c r="S97" i="14" s="1"/>
  <c r="B59" i="14" a="1"/>
  <c r="B59" i="14" s="1"/>
  <c r="Q85" i="14" s="1"/>
  <c r="Q106" i="14" s="1"/>
  <c r="S106" i="14" s="1"/>
  <c r="T106" i="14" s="1"/>
  <c r="B60" i="14" a="1"/>
  <c r="B60" i="14" s="1"/>
  <c r="Q86" i="14" s="1"/>
  <c r="Q107" i="14" s="1"/>
  <c r="S107" i="14" s="1"/>
  <c r="T107" i="14" s="1"/>
  <c r="B58" i="14" a="1"/>
  <c r="B58" i="14" s="1"/>
  <c r="Q84" i="14" s="1"/>
  <c r="Q105" i="14" s="1"/>
  <c r="S105" i="14" s="1"/>
  <c r="T105" i="14" s="1"/>
  <c r="B55" i="14" a="1"/>
  <c r="B55" i="14" s="1"/>
  <c r="Q81" i="14" s="1"/>
  <c r="Q102" i="14" s="1"/>
  <c r="S102" i="14" s="1"/>
  <c r="T102" i="14" s="1"/>
  <c r="B61" i="14" a="1"/>
  <c r="B61" i="14" s="1"/>
  <c r="Q87" i="14" s="1"/>
  <c r="Q108" i="14" s="1"/>
  <c r="S108" i="14" s="1"/>
  <c r="T108" i="14" s="1"/>
  <c r="B62" i="14" a="1"/>
  <c r="B62" i="14" s="1"/>
  <c r="Q88" i="14" s="1"/>
  <c r="Q109" i="14" s="1"/>
  <c r="S109" i="14" s="1"/>
  <c r="T109" i="14" s="1"/>
  <c r="B57" i="14" a="1"/>
  <c r="B57" i="14" s="1"/>
  <c r="Q83" i="14" s="1"/>
  <c r="Q104" i="14" s="1"/>
  <c r="S104" i="14" s="1"/>
  <c r="T104" i="14" s="1"/>
  <c r="B63" i="14" a="1"/>
  <c r="B63" i="14" s="1"/>
  <c r="Q89" i="14" s="1"/>
  <c r="Q110" i="14" s="1"/>
  <c r="S110" i="14" s="1"/>
  <c r="T110" i="14" s="1"/>
  <c r="B64" i="14" a="1"/>
  <c r="B64" i="14" s="1"/>
  <c r="Q90" i="14" s="1"/>
  <c r="Q111" i="14" s="1"/>
  <c r="S111" i="14" s="1"/>
  <c r="T111" i="14" s="1"/>
  <c r="B27" i="14"/>
  <c r="B56" i="14" a="1"/>
  <c r="B56" i="14" s="1"/>
  <c r="Q82" i="14" s="1"/>
  <c r="Q103" i="14" s="1"/>
  <c r="S103" i="14" s="1"/>
  <c r="T103" i="14" s="1"/>
  <c r="B32" i="14"/>
  <c r="C32" i="14" s="1"/>
  <c r="B54" i="14" a="1"/>
  <c r="B54" i="14" s="1"/>
  <c r="Q80" i="14" s="1"/>
  <c r="Q101" i="14" s="1"/>
  <c r="S101" i="14" s="1"/>
  <c r="T101" i="14" s="1"/>
  <c r="B30" i="14"/>
  <c r="C30" i="14" s="1"/>
  <c r="B34" i="14"/>
  <c r="C34" i="14" s="1"/>
  <c r="B29" i="14"/>
  <c r="C29" i="14" s="1"/>
  <c r="B28" i="14"/>
  <c r="C28" i="14" s="1"/>
  <c r="Q78" i="14"/>
  <c r="Q99" i="14" s="1"/>
  <c r="S99" i="14" s="1"/>
  <c r="T99" i="14" s="1"/>
  <c r="B51" i="14" a="1"/>
  <c r="B51" i="14" s="1"/>
  <c r="Q77" i="14" s="1"/>
  <c r="Q98" i="14" s="1"/>
  <c r="S98" i="14" s="1"/>
  <c r="T98" i="14" s="1"/>
  <c r="D72" i="14"/>
  <c r="B4" i="14"/>
  <c r="F4" i="14" s="1"/>
  <c r="B44" i="14"/>
  <c r="D44" i="14" s="1"/>
  <c r="B41" i="14"/>
  <c r="B2" i="14"/>
  <c r="B45" i="14"/>
  <c r="B3" i="14"/>
  <c r="B46" i="14"/>
  <c r="B5" i="14"/>
  <c r="B6" i="14"/>
  <c r="B43" i="14"/>
  <c r="B42" i="14"/>
  <c r="B69" i="14"/>
  <c r="B70" i="14"/>
  <c r="C70" i="14"/>
  <c r="D70" i="14" s="1"/>
  <c r="C54" i="3"/>
  <c r="B56" i="3"/>
  <c r="B57" i="3"/>
  <c r="C55" i="3"/>
  <c r="D55" i="3" s="1"/>
  <c r="C56" i="3"/>
  <c r="D56" i="3" s="1"/>
  <c r="C57" i="3"/>
  <c r="D57" i="3" s="1"/>
  <c r="B55" i="3"/>
  <c r="B54" i="3"/>
  <c r="C2" i="3"/>
  <c r="B17" i="3"/>
  <c r="B4" i="3"/>
  <c r="B21" i="3"/>
  <c r="B20" i="3"/>
  <c r="B19" i="3"/>
  <c r="B18" i="3"/>
  <c r="B16" i="3"/>
  <c r="C6" i="3"/>
  <c r="B6" i="3"/>
  <c r="C5" i="3"/>
  <c r="B5" i="3"/>
  <c r="C4" i="3"/>
  <c r="C3" i="3"/>
  <c r="B3" i="3"/>
  <c r="B2" i="3"/>
  <c r="Q7" i="14" l="1" a="1"/>
  <c r="Q7" i="14" s="1"/>
  <c r="Q6" i="14" a="1"/>
  <c r="Q6" i="14" s="1"/>
  <c r="Q5" i="14" a="1"/>
  <c r="Q5" i="14" s="1"/>
  <c r="E33" i="14"/>
  <c r="AI5" i="14" a="1"/>
  <c r="AI5" i="14" s="1"/>
  <c r="AI6" i="14" a="1"/>
  <c r="AI6" i="14" s="1"/>
  <c r="AI7" i="14" a="1"/>
  <c r="AI7" i="14" s="1"/>
  <c r="D69" i="14"/>
  <c r="C27" i="14"/>
  <c r="W7" i="14" a="1"/>
  <c r="W7" i="14" s="1"/>
  <c r="W6" i="14" a="1"/>
  <c r="W6" i="14" s="1"/>
  <c r="F34" i="14"/>
  <c r="E34" i="14"/>
  <c r="D34" i="14"/>
  <c r="T97" i="14"/>
  <c r="D54" i="3"/>
  <c r="C4" i="14"/>
  <c r="E4" i="14"/>
  <c r="W5" i="14"/>
  <c r="D4" i="14"/>
  <c r="E32" i="14"/>
  <c r="C44" i="14"/>
  <c r="D32" i="14"/>
  <c r="F32" i="14"/>
  <c r="F44" i="14"/>
  <c r="E44" i="14"/>
  <c r="D33" i="14"/>
  <c r="F33" i="14"/>
  <c r="E31" i="14"/>
  <c r="F31" i="14"/>
  <c r="D31" i="14"/>
  <c r="D43" i="14"/>
  <c r="F43" i="14"/>
  <c r="C43" i="14"/>
  <c r="E43" i="14"/>
  <c r="D3" i="14"/>
  <c r="F3" i="14"/>
  <c r="C3" i="14"/>
  <c r="E3" i="14"/>
  <c r="D27" i="14"/>
  <c r="E27" i="14"/>
  <c r="F27" i="14"/>
  <c r="D45" i="14"/>
  <c r="F45" i="14"/>
  <c r="C45" i="14"/>
  <c r="E45" i="14"/>
  <c r="D5" i="14"/>
  <c r="F5" i="14"/>
  <c r="C5" i="14"/>
  <c r="E5" i="14"/>
  <c r="D2" i="14"/>
  <c r="F2" i="14"/>
  <c r="C2" i="14"/>
  <c r="E2" i="14"/>
  <c r="F28" i="14"/>
  <c r="D28" i="14"/>
  <c r="E28" i="14"/>
  <c r="D41" i="14"/>
  <c r="F41" i="14"/>
  <c r="C41" i="14"/>
  <c r="E41" i="14"/>
  <c r="E29" i="14"/>
  <c r="F29" i="14"/>
  <c r="D29" i="14"/>
  <c r="D6" i="14"/>
  <c r="F6" i="14"/>
  <c r="C6" i="14"/>
  <c r="E6" i="14"/>
  <c r="F42" i="14"/>
  <c r="C42" i="14"/>
  <c r="E42" i="14"/>
  <c r="D42" i="14"/>
  <c r="D46" i="14"/>
  <c r="F46" i="14"/>
  <c r="C46" i="14"/>
  <c r="E46" i="14"/>
  <c r="E30" i="14"/>
  <c r="F30" i="14"/>
  <c r="D30" i="14"/>
  <c r="D5" i="3"/>
  <c r="D2" i="3"/>
  <c r="D3" i="3"/>
  <c r="D4" i="3"/>
  <c r="D6" i="3"/>
  <c r="C57" i="14"/>
  <c r="D57" i="14"/>
  <c r="F57" i="14"/>
  <c r="C54" i="14"/>
  <c r="D54" i="14"/>
  <c r="E54" i="14"/>
  <c r="D62" i="14"/>
  <c r="E62" i="14"/>
  <c r="F62" i="14"/>
  <c r="E56" i="14"/>
  <c r="D59" i="14"/>
  <c r="C59" i="14"/>
  <c r="E59" i="14"/>
  <c r="F59" i="14"/>
  <c r="D64" i="14"/>
  <c r="C64" i="14"/>
  <c r="E64" i="14"/>
  <c r="D63" i="14"/>
  <c r="F63" i="14"/>
  <c r="C63" i="14"/>
  <c r="F52" i="14"/>
  <c r="E52" i="14"/>
  <c r="D52" i="14"/>
  <c r="C52" i="14"/>
  <c r="F58" i="14"/>
  <c r="C53" i="14"/>
  <c r="F53" i="14"/>
  <c r="B35" i="3"/>
  <c r="B45" i="3"/>
  <c r="B46" i="3"/>
  <c r="B44" i="3"/>
  <c r="B36" i="3"/>
  <c r="B47" i="3"/>
  <c r="B40" i="3"/>
  <c r="B37" i="3"/>
  <c r="B49" i="3"/>
  <c r="B43" i="3"/>
  <c r="B42" i="3"/>
  <c r="B41" i="3"/>
  <c r="B39" i="3"/>
  <c r="B48" i="3"/>
  <c r="B38" i="3"/>
  <c r="F56" i="14" l="1"/>
  <c r="D56" i="14"/>
  <c r="D53" i="14"/>
  <c r="D55" i="14"/>
  <c r="E55" i="14"/>
  <c r="C61" i="14"/>
  <c r="C56" i="14"/>
  <c r="C51" i="14"/>
  <c r="F61" i="14"/>
  <c r="F55" i="14"/>
  <c r="E53" i="14"/>
  <c r="E61" i="14"/>
  <c r="E51" i="14"/>
  <c r="F51" i="14"/>
  <c r="D51" i="14"/>
  <c r="C55" i="14"/>
  <c r="D61" i="14"/>
  <c r="C60" i="14"/>
  <c r="E60" i="14"/>
  <c r="D60" i="14"/>
  <c r="F60" i="14"/>
  <c r="D58" i="14"/>
  <c r="C62" i="14"/>
  <c r="F54" i="14"/>
  <c r="C58" i="14"/>
  <c r="E63" i="14"/>
  <c r="E57" i="14"/>
  <c r="E58" i="14"/>
  <c r="F64" i="14"/>
  <c r="C133" i="14"/>
  <c r="F133" i="14" s="1"/>
  <c r="B261" i="14"/>
  <c r="B269" i="14"/>
  <c r="AD87" i="14" s="1"/>
  <c r="B258" i="14"/>
  <c r="AD76" i="14" s="1"/>
  <c r="C238" i="14"/>
  <c r="F238" i="14" s="1"/>
  <c r="C163" i="14"/>
  <c r="F163" i="14" s="1"/>
  <c r="B264" i="14"/>
  <c r="B266" i="14"/>
  <c r="C223" i="14"/>
  <c r="F223" i="14" s="1"/>
  <c r="B259" i="14"/>
  <c r="AD77" i="14" s="1"/>
  <c r="B268" i="14"/>
  <c r="C178" i="14"/>
  <c r="F178" i="14" s="1"/>
  <c r="B272" i="14"/>
  <c r="B263" i="14"/>
  <c r="AD81" i="14" s="1"/>
  <c r="B270" i="14"/>
  <c r="B260" i="14"/>
  <c r="B271" i="14"/>
  <c r="AD89" i="14" s="1"/>
  <c r="C145" i="14"/>
  <c r="F145" i="14" s="1"/>
  <c r="C240" i="14"/>
  <c r="F240" i="14" s="1"/>
  <c r="B267" i="14"/>
  <c r="C162" i="14"/>
  <c r="F162" i="14" s="1"/>
  <c r="C200" i="14"/>
  <c r="F200" i="14" s="1"/>
  <c r="C182" i="14"/>
  <c r="F182" i="14" s="1"/>
  <c r="C180" i="14"/>
  <c r="F180" i="14" s="1"/>
  <c r="C176" i="14"/>
  <c r="F176" i="14" s="1"/>
  <c r="B262" i="14"/>
  <c r="C222" i="14"/>
  <c r="F222" i="14" s="1"/>
  <c r="C212" i="14"/>
  <c r="F212" i="14" s="1"/>
  <c r="C206" i="14"/>
  <c r="F206" i="14" s="1"/>
  <c r="B265" i="14"/>
  <c r="C237" i="14"/>
  <c r="F237" i="14" s="1"/>
  <c r="C50" i="14"/>
  <c r="E50" i="14"/>
  <c r="D50" i="14"/>
  <c r="C148" i="14"/>
  <c r="F148" i="14" s="1"/>
  <c r="F50" i="14"/>
  <c r="C235" i="14"/>
  <c r="F235" i="14" s="1"/>
  <c r="C80" i="14"/>
  <c r="C87" i="14"/>
  <c r="C229" i="14"/>
  <c r="F229" i="14" s="1"/>
  <c r="C236" i="14"/>
  <c r="F236" i="14" s="1"/>
  <c r="C134" i="14"/>
  <c r="F134" i="14" s="1"/>
  <c r="C114" i="14"/>
  <c r="C151" i="14"/>
  <c r="F151" i="14" s="1"/>
  <c r="S15" i="8"/>
  <c r="C190" i="14"/>
  <c r="F190" i="14" s="1"/>
  <c r="C158" i="14"/>
  <c r="F158" i="14" s="1"/>
  <c r="C234" i="14"/>
  <c r="F234" i="14" s="1"/>
  <c r="C211" i="14"/>
  <c r="F211" i="14" s="1"/>
  <c r="C226" i="14"/>
  <c r="F226" i="14" s="1"/>
  <c r="C140" i="14"/>
  <c r="F140" i="14" s="1"/>
  <c r="C247" i="14"/>
  <c r="F247" i="14" s="1"/>
  <c r="C194" i="14"/>
  <c r="F194" i="14" s="1"/>
  <c r="C94" i="14"/>
  <c r="C100" i="14"/>
  <c r="C187" i="14"/>
  <c r="F187" i="14" s="1"/>
  <c r="C170" i="14"/>
  <c r="F170" i="14" s="1"/>
  <c r="C204" i="14"/>
  <c r="F204" i="14" s="1"/>
  <c r="C113" i="14"/>
  <c r="C164" i="14"/>
  <c r="F164" i="14" s="1"/>
  <c r="C243" i="14"/>
  <c r="F243" i="14" s="1"/>
  <c r="C213" i="14"/>
  <c r="F213" i="14" s="1"/>
  <c r="C214" i="14"/>
  <c r="F214" i="14" s="1"/>
  <c r="C137" i="14"/>
  <c r="F137" i="14" s="1"/>
  <c r="C251" i="14"/>
  <c r="F251" i="14" s="1"/>
  <c r="C101" i="14"/>
  <c r="C183" i="14"/>
  <c r="F183" i="14" s="1"/>
  <c r="C97" i="14"/>
  <c r="C153" i="14"/>
  <c r="F153" i="14" s="1"/>
  <c r="C189" i="14"/>
  <c r="F189" i="14" s="1"/>
  <c r="C98" i="14"/>
  <c r="C82" i="14"/>
  <c r="C232" i="14"/>
  <c r="F232" i="14" s="1"/>
  <c r="C246" i="14"/>
  <c r="F246" i="14" s="1"/>
  <c r="C92" i="14"/>
  <c r="C203" i="14"/>
  <c r="F203" i="14" s="1"/>
  <c r="C179" i="14"/>
  <c r="F179" i="14" s="1"/>
  <c r="C103" i="14"/>
  <c r="C184" i="14"/>
  <c r="F184" i="14" s="1"/>
  <c r="C239" i="14"/>
  <c r="F239" i="14" s="1"/>
  <c r="C201" i="14"/>
  <c r="F201" i="14" s="1"/>
  <c r="C77" i="14"/>
  <c r="C192" i="14"/>
  <c r="F192" i="14" s="1"/>
  <c r="C224" i="14"/>
  <c r="F224" i="14" s="1"/>
  <c r="C174" i="14"/>
  <c r="F174" i="14" s="1"/>
  <c r="S9" i="8"/>
  <c r="S12" i="8"/>
  <c r="C196" i="14"/>
  <c r="F196" i="14" s="1"/>
  <c r="C157" i="14"/>
  <c r="F157" i="14" s="1"/>
  <c r="C138" i="14"/>
  <c r="F138" i="14" s="1"/>
  <c r="C169" i="14"/>
  <c r="F169" i="14" s="1"/>
  <c r="C83" i="14"/>
  <c r="C86" i="14"/>
  <c r="S10" i="8"/>
  <c r="C191" i="14"/>
  <c r="F191" i="14" s="1"/>
  <c r="C218" i="14"/>
  <c r="F218" i="14" s="1"/>
  <c r="S7" i="8"/>
  <c r="C219" i="14"/>
  <c r="F219" i="14" s="1"/>
  <c r="C154" i="14"/>
  <c r="F154" i="14" s="1"/>
  <c r="C143" i="14"/>
  <c r="F143" i="14" s="1"/>
  <c r="S8" i="8"/>
  <c r="C156" i="14"/>
  <c r="F156" i="14" s="1"/>
  <c r="C88" i="14"/>
  <c r="C152" i="14"/>
  <c r="F152" i="14" s="1"/>
  <c r="C144" i="14"/>
  <c r="F144" i="14" s="1"/>
  <c r="C139" i="14"/>
  <c r="F139" i="14" s="1"/>
  <c r="C112" i="14"/>
  <c r="C95" i="14"/>
  <c r="C198" i="14"/>
  <c r="F198" i="14" s="1"/>
  <c r="C181" i="14"/>
  <c r="F181" i="14" s="1"/>
  <c r="C248" i="14"/>
  <c r="F248" i="14" s="1"/>
  <c r="S5" i="8"/>
  <c r="C188" i="14"/>
  <c r="F188" i="14" s="1"/>
  <c r="C166" i="14"/>
  <c r="F166" i="14" s="1"/>
  <c r="C159" i="14"/>
  <c r="F159" i="14" s="1"/>
  <c r="C241" i="14"/>
  <c r="F241" i="14" s="1"/>
  <c r="C111" i="14"/>
  <c r="C230" i="14"/>
  <c r="F230" i="14" s="1"/>
  <c r="C110" i="14"/>
  <c r="C173" i="14"/>
  <c r="F173" i="14" s="1"/>
  <c r="C249" i="14"/>
  <c r="F249" i="14" s="1"/>
  <c r="C96" i="14"/>
  <c r="S2" i="8"/>
  <c r="C149" i="14"/>
  <c r="F149" i="14" s="1"/>
  <c r="C104" i="14"/>
  <c r="C84" i="14"/>
  <c r="C90" i="14"/>
  <c r="C228" i="14"/>
  <c r="F228" i="14" s="1"/>
  <c r="C142" i="14"/>
  <c r="F142" i="14" s="1"/>
  <c r="C233" i="14"/>
  <c r="F233" i="14" s="1"/>
  <c r="C209" i="14"/>
  <c r="F209" i="14" s="1"/>
  <c r="C168" i="14"/>
  <c r="F168" i="14" s="1"/>
  <c r="S13" i="8"/>
  <c r="C108" i="14"/>
  <c r="C199" i="14"/>
  <c r="F199" i="14" s="1"/>
  <c r="C105" i="14"/>
  <c r="S14" i="8"/>
  <c r="C107" i="14"/>
  <c r="C136" i="14"/>
  <c r="F136" i="14" s="1"/>
  <c r="C165" i="14"/>
  <c r="F165" i="14" s="1"/>
  <c r="C147" i="14"/>
  <c r="F147" i="14" s="1"/>
  <c r="S11" i="8"/>
  <c r="C172" i="14"/>
  <c r="F172" i="14" s="1"/>
  <c r="C81" i="14"/>
  <c r="C141" i="14"/>
  <c r="F141" i="14" s="1"/>
  <c r="C106" i="14"/>
  <c r="C207" i="14"/>
  <c r="F207" i="14" s="1"/>
  <c r="C99" i="14"/>
  <c r="C109" i="14"/>
  <c r="C231" i="14"/>
  <c r="F231" i="14" s="1"/>
  <c r="C135" i="14"/>
  <c r="F135" i="14" s="1"/>
  <c r="C217" i="14"/>
  <c r="F217" i="14" s="1"/>
  <c r="C102" i="14"/>
  <c r="C215" i="14"/>
  <c r="F215" i="14" s="1"/>
  <c r="C225" i="14"/>
  <c r="F225" i="14" s="1"/>
  <c r="S3" i="8"/>
  <c r="C245" i="14"/>
  <c r="F245" i="14" s="1"/>
  <c r="C252" i="14"/>
  <c r="F252" i="14" s="1"/>
  <c r="C91" i="14"/>
  <c r="C115" i="14"/>
  <c r="C205" i="14"/>
  <c r="F205" i="14" s="1"/>
  <c r="S16" i="8"/>
  <c r="C79" i="14"/>
  <c r="C250" i="14"/>
  <c r="F250" i="14" s="1"/>
  <c r="C244" i="14"/>
  <c r="F244" i="14" s="1"/>
  <c r="C216" i="14"/>
  <c r="F216" i="14" s="1"/>
  <c r="C146" i="14"/>
  <c r="F146" i="14" s="1"/>
  <c r="C167" i="14"/>
  <c r="F167" i="14" s="1"/>
  <c r="C89" i="14"/>
  <c r="C221" i="14"/>
  <c r="F221" i="14" s="1"/>
  <c r="C185" i="14"/>
  <c r="F185" i="14" s="1"/>
  <c r="C93" i="14"/>
  <c r="C220" i="14"/>
  <c r="F220" i="14" s="1"/>
  <c r="C210" i="14"/>
  <c r="F210" i="14" s="1"/>
  <c r="C155" i="14"/>
  <c r="F155" i="14" s="1"/>
  <c r="S6" i="8"/>
  <c r="C186" i="14"/>
  <c r="F186" i="14" s="1"/>
  <c r="C160" i="14"/>
  <c r="F160" i="14" s="1"/>
  <c r="C161" i="14"/>
  <c r="F161" i="14" s="1"/>
  <c r="C85" i="14"/>
  <c r="C171" i="14"/>
  <c r="F171" i="14" s="1"/>
  <c r="C227" i="14"/>
  <c r="F227" i="14" s="1"/>
  <c r="C177" i="14"/>
  <c r="F177" i="14" s="1"/>
  <c r="C175" i="14"/>
  <c r="F175" i="14" s="1"/>
  <c r="C242" i="14"/>
  <c r="F242" i="14" s="1"/>
  <c r="C150" i="14"/>
  <c r="F150" i="14" s="1"/>
  <c r="C78" i="14"/>
  <c r="C195" i="14"/>
  <c r="F195" i="14" s="1"/>
  <c r="C202" i="14"/>
  <c r="F202" i="14" s="1"/>
  <c r="C197" i="14"/>
  <c r="F197" i="14" s="1"/>
  <c r="D268" i="14" l="1"/>
  <c r="AD86" i="14"/>
  <c r="D265" i="14"/>
  <c r="AD83" i="14"/>
  <c r="D260" i="14"/>
  <c r="AD78" i="14"/>
  <c r="D270" i="14"/>
  <c r="AD88" i="14"/>
  <c r="D261" i="14"/>
  <c r="AD79" i="14"/>
  <c r="D264" i="14"/>
  <c r="AD82" i="14"/>
  <c r="D262" i="14"/>
  <c r="AD80" i="14"/>
  <c r="AQ79" i="14" s="1" a="1"/>
  <c r="AQ79" i="14" s="1"/>
  <c r="D266" i="14"/>
  <c r="AD84" i="14"/>
  <c r="D267" i="14"/>
  <c r="AD85" i="14"/>
  <c r="D272" i="14"/>
  <c r="AD90" i="14"/>
  <c r="D271" i="14"/>
  <c r="F81" i="14"/>
  <c r="G81" i="14" s="1"/>
  <c r="D269" i="14"/>
  <c r="D258" i="14"/>
  <c r="F77" i="14"/>
  <c r="G77" i="14" s="1"/>
  <c r="F80" i="14"/>
  <c r="H80" i="14" s="1"/>
  <c r="B127" i="14"/>
  <c r="F127" i="14" s="1"/>
  <c r="F79" i="14"/>
  <c r="J79" i="14" s="1"/>
  <c r="B121" i="14"/>
  <c r="F78" i="14"/>
  <c r="B123" i="14"/>
  <c r="B122" i="14"/>
  <c r="B126" i="14"/>
  <c r="B120" i="14"/>
  <c r="C208" i="14"/>
  <c r="D263" i="14"/>
  <c r="D259" i="14"/>
  <c r="C193" i="14"/>
  <c r="S4" i="8"/>
  <c r="F193" i="14" l="1"/>
  <c r="B125" i="14" s="1"/>
  <c r="B124" i="14"/>
  <c r="F208" i="14"/>
  <c r="AR82" i="14" a="1"/>
  <c r="AR82" i="14" s="1"/>
  <c r="AQ81" i="14" a="1"/>
  <c r="AQ81" i="14" s="1"/>
  <c r="AR79" i="14" a="1"/>
  <c r="AR79" i="14" s="1"/>
  <c r="AN80" i="14" a="1"/>
  <c r="AN80" i="14" s="1"/>
  <c r="AR78" i="14" a="1"/>
  <c r="AR78" i="14" s="1"/>
  <c r="AQ82" i="14" a="1"/>
  <c r="AQ82" i="14" s="1"/>
  <c r="AH76" i="14" a="1"/>
  <c r="AH76" i="14" s="1"/>
  <c r="AR81" i="14" a="1"/>
  <c r="AR81" i="14" s="1"/>
  <c r="AQ83" i="14" a="1"/>
  <c r="AQ83" i="14" s="1"/>
  <c r="AQ77" i="14" a="1"/>
  <c r="AQ77" i="14" s="1"/>
  <c r="AH83" i="14" a="1"/>
  <c r="AH83" i="14" s="1"/>
  <c r="AN76" i="14" a="1"/>
  <c r="AN76" i="14" s="1"/>
  <c r="AH79" i="14" a="1"/>
  <c r="AH79" i="14" s="1"/>
  <c r="AN82" i="14" a="1"/>
  <c r="AN82" i="14" s="1"/>
  <c r="AN78" i="14" a="1"/>
  <c r="AN78" i="14" s="1"/>
  <c r="AN79" i="14" a="1"/>
  <c r="AN79" i="14" s="1"/>
  <c r="AQ76" i="14" a="1"/>
  <c r="AQ76" i="14" s="1"/>
  <c r="AR76" i="14" a="1"/>
  <c r="AR76" i="14" s="1"/>
  <c r="AR80" i="14" a="1"/>
  <c r="AR80" i="14" s="1"/>
  <c r="AQ78" i="14" a="1"/>
  <c r="AQ78" i="14" s="1"/>
  <c r="AN81" i="14" a="1"/>
  <c r="AN81" i="14" s="1"/>
  <c r="AN83" i="14" a="1"/>
  <c r="AN83" i="14" s="1"/>
  <c r="AH81" i="14" a="1"/>
  <c r="AH81" i="14" s="1"/>
  <c r="AR83" i="14" a="1"/>
  <c r="AR83" i="14" s="1"/>
  <c r="AH82" i="14" a="1"/>
  <c r="AH82" i="14" s="1"/>
  <c r="AR77" i="14" a="1"/>
  <c r="AR77" i="14" s="1"/>
  <c r="AH80" i="14" a="1"/>
  <c r="AH80" i="14" s="1"/>
  <c r="AN77" i="14" a="1"/>
  <c r="AN77" i="14" s="1"/>
  <c r="AQ80" i="14" a="1"/>
  <c r="AQ80" i="14" s="1"/>
  <c r="AH77" i="14" a="1"/>
  <c r="AH77" i="14" s="1"/>
  <c r="AH78" i="14" a="1"/>
  <c r="AH78" i="14" s="1"/>
  <c r="J77" i="14"/>
  <c r="H77" i="14"/>
  <c r="H81" i="14"/>
  <c r="I81" i="14"/>
  <c r="J81" i="14"/>
  <c r="D127" i="14"/>
  <c r="E127" i="14"/>
  <c r="G80" i="14"/>
  <c r="I80" i="14"/>
  <c r="J80" i="14"/>
  <c r="I77" i="14"/>
  <c r="I79" i="14"/>
  <c r="H79" i="14"/>
  <c r="G79" i="14"/>
  <c r="C127" i="14"/>
  <c r="E126" i="14"/>
  <c r="D126" i="14"/>
  <c r="F126" i="14"/>
  <c r="C126" i="14"/>
  <c r="E123" i="14"/>
  <c r="C123" i="14"/>
  <c r="D123" i="14"/>
  <c r="F123" i="14"/>
  <c r="C122" i="14"/>
  <c r="E122" i="14"/>
  <c r="F122" i="14"/>
  <c r="D122" i="14"/>
  <c r="F124" i="14"/>
  <c r="C124" i="14"/>
  <c r="D124" i="14"/>
  <c r="E124" i="14"/>
  <c r="G78" i="14"/>
  <c r="I78" i="14"/>
  <c r="H78" i="14"/>
  <c r="J78" i="14"/>
  <c r="F121" i="14"/>
  <c r="D121" i="14"/>
  <c r="E121" i="14"/>
  <c r="C121" i="14"/>
  <c r="D120" i="14"/>
  <c r="C120" i="14"/>
  <c r="F120" i="14"/>
  <c r="E120" i="14"/>
  <c r="C125" i="14" l="1"/>
  <c r="H120" i="14" a="1"/>
  <c r="J125" i="14" s="1"/>
  <c r="F125" i="14"/>
  <c r="D125" i="14"/>
  <c r="E125" i="14"/>
  <c r="H120" i="14" l="1"/>
  <c r="AC6" i="14" s="1" a="1"/>
  <c r="AC6" i="14" s="1"/>
  <c r="J121" i="14"/>
  <c r="J120" i="14"/>
  <c r="J124" i="14"/>
  <c r="J122" i="14"/>
  <c r="J123" i="14"/>
  <c r="J127" i="14"/>
  <c r="J126" i="14"/>
  <c r="AC7" i="14" a="1"/>
  <c r="AC7" i="14" s="1"/>
  <c r="AC5" i="14" l="1" a="1"/>
  <c r="AC5" i="14"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<sst xmlns="http://schemas.openxmlformats.org/spreadsheetml/2006/main" count="2352" uniqueCount="940">
  <si>
    <t>Vraag nr</t>
  </si>
  <si>
    <t>Vraag</t>
  </si>
  <si>
    <t>Categorie</t>
  </si>
  <si>
    <t>Domein</t>
  </si>
  <si>
    <t>Score (0-5)</t>
  </si>
  <si>
    <t>ID modeleis/ randvoorwaarden</t>
  </si>
  <si>
    <t>Bewijs / Opmerking</t>
  </si>
  <si>
    <t>Is vastgelegd wie verantwoordelijk is voor de informatie die in deze applicatie wordt beheerd (bijv. proceseigenaren, domeineigenaren of informatie-eigenaren)?</t>
  </si>
  <si>
    <t>Governance</t>
  </si>
  <si>
    <t>RVW01, RVW08</t>
  </si>
  <si>
    <t>Zijn rollen en verantwoordelijkheden voor informatiebeheer vastgelegd (bijv. in een RASCI/RACI, governance- of procesbeschrijving)?</t>
  </si>
  <si>
    <t>RVW01</t>
  </si>
  <si>
    <t>Zijn beheerafspraken met leveranciers of ketenpartners vastgelegd?</t>
  </si>
  <si>
    <t>RVW09</t>
  </si>
  <si>
    <t>Is er een exitstrategie voor de applicatie?</t>
  </si>
  <si>
    <t>M06, M07</t>
  </si>
  <si>
    <t>Kunnen informatieobjecten automatisch of via koppelingen worden geregistreerd?</t>
  </si>
  <si>
    <t>Registratie en metadata</t>
  </si>
  <si>
    <t>Lifecycle</t>
  </si>
  <si>
    <t>R01, R19</t>
  </si>
  <si>
    <t>Krijgt ieder informatieobject een unieke identifier?</t>
  </si>
  <si>
    <t>Metadata</t>
  </si>
  <si>
    <t>R02</t>
  </si>
  <si>
    <t>Is vastgelegd welke metadata verplicht zijn?</t>
  </si>
  <si>
    <t>R03, RVW12</t>
  </si>
  <si>
    <t>Is het metadatamodel van de applicatie gedocumenteerd en is er een mapping beschikbaar naar het organisatiebrede metadatamodel (bijv. MDTO)?</t>
  </si>
  <si>
    <t>R07, R16</t>
  </si>
  <si>
    <t>Is er een logische structuur voor informatieobjecten (bijv. dossiers, zaken)?</t>
  </si>
  <si>
    <t>Structuur en classificatie</t>
  </si>
  <si>
    <t>B17, RVW11</t>
  </si>
  <si>
    <t>Wordt bij het toekennen van bewaartermijnen gebruikgemaakt van de meest recente (vigerende) selectielijst?</t>
  </si>
  <si>
    <t>R04, RVW13</t>
  </si>
  <si>
    <t>Wordt bij registratie automatisch een bewaartermijn gekoppeld?</t>
  </si>
  <si>
    <t>R04, V01, V02</t>
  </si>
  <si>
    <t>Kunnen informatieobjecten gefixeerd worden (onveranderlijk)?</t>
  </si>
  <si>
    <t>Bewaren en integriteit</t>
  </si>
  <si>
    <t>Techniek</t>
  </si>
  <si>
    <t>B01</t>
  </si>
  <si>
    <t>Wordt de integriteit van bestanden gecontroleerd (checksum/hash)?</t>
  </si>
  <si>
    <t>B09</t>
  </si>
  <si>
    <t>Blijven metadata gekoppeld aan informatieobjecten?</t>
  </si>
  <si>
    <t>R05, B03</t>
  </si>
  <si>
    <t>Worden duurzame bestandsformaten (conform duurzame bestandsformaten Nationaal Archief) ondersteund of toegepast?</t>
  </si>
  <si>
    <t>R11, B02</t>
  </si>
  <si>
    <t>Blijven digitale handtekeningen bewaard en verifieerbaar?</t>
  </si>
  <si>
    <t>R06, B04</t>
  </si>
  <si>
    <t>Is Identity &amp; Access Management ingericht?</t>
  </si>
  <si>
    <t>Toegang</t>
  </si>
  <si>
    <t>RVW07</t>
  </si>
  <si>
    <t>Kunnen autorisaties op meerdere niveaus worden ingesteld?</t>
  </si>
  <si>
    <t>Toegang en beveiliging</t>
  </si>
  <si>
    <t>Worden gebruiks- en beheeracties op informatieobjecten gelogd (audittrail)?</t>
  </si>
  <si>
    <t>R09, B11, B12</t>
  </si>
  <si>
    <t>Kunnen gebruikers informatieobjecten zoeken?</t>
  </si>
  <si>
    <t>B13, T10</t>
  </si>
  <si>
    <t>Kunnen informatieobjecten worden geraadpleegd of gedownload?</t>
  </si>
  <si>
    <t>Beschikbaarheid en gebruik</t>
  </si>
  <si>
    <t>T04, T05, SRVW41</t>
  </si>
  <si>
    <t>Kan informatie geëxporteerd worden inclusief metadata?</t>
  </si>
  <si>
    <t>M06, M07, M08</t>
  </si>
  <si>
    <t>Is er een vernietigingsprotocol voor informatie in de applicatie?</t>
  </si>
  <si>
    <t>V06, V07, V08, SRVW11</t>
  </si>
  <si>
    <t>Is aantoonbaar dat een eventuele migratie gecontroleerd en gedocumenteerd is uitgevoerd (migratieplan, testrapporten, verklaring)?</t>
  </si>
  <si>
    <t>Beheerprocessen</t>
  </si>
  <si>
    <t>M10, M11, M12, SRVW31, SRVW32</t>
  </si>
  <si>
    <t>Is vastgesteld of bij migratie informatie, metadata of context verloren is gegaan en wat de impact is?</t>
  </si>
  <si>
    <t>M10, M11, SRVW31, SRVW32</t>
  </si>
  <si>
    <t>Wordt periodiek gecontroleerd of informatieobjecten correct zijn geplaatst binnen de juiste proces-, zaak- of dossierstructuur?</t>
  </si>
  <si>
    <t>SRVW01</t>
  </si>
  <si>
    <t>Wordt periodiek gecontroleerd of bewaartermijnen correct zijn toegepast op informatieobjecten?</t>
  </si>
  <si>
    <t>Kwaliteitscontrole informatiebeheer</t>
  </si>
  <si>
    <t>V01, V02, SRVW11</t>
  </si>
  <si>
    <t>Wordt periodiek gecontroleerd of informatieobjecten waarvan de bewaartermijn is verlopen tijdig worden vernietigd?</t>
  </si>
  <si>
    <t>V10, V08, SRVW11</t>
  </si>
  <si>
    <t>Wordt periodiek gecontroleerd of informatieobjecten tijdig worden overgebracht naar een archiefvoorziening?</t>
  </si>
  <si>
    <t>Worden de resultaten van deze kwaliteitscontroles vastgelegd en leiden deze tot verbetermaatregelen?</t>
  </si>
  <si>
    <t>RVW03</t>
  </si>
  <si>
    <t>Score</t>
  </si>
  <si>
    <t>Percentage</t>
  </si>
  <si>
    <t>Rood</t>
  </si>
  <si>
    <t>Oranje</t>
  </si>
  <si>
    <t>Geel</t>
  </si>
  <si>
    <t>Groen</t>
  </si>
  <si>
    <t>Governance en beheer</t>
  </si>
  <si>
    <t>ID</t>
  </si>
  <si>
    <t>Proces</t>
  </si>
  <si>
    <t>Eis</t>
  </si>
  <si>
    <t>Functie</t>
  </si>
  <si>
    <t>MoSCoW</t>
  </si>
  <si>
    <t>Bronvermelding</t>
  </si>
  <si>
    <t>R01</t>
  </si>
  <si>
    <t>Registreren</t>
  </si>
  <si>
    <t>Het moet mogelijk zijn om informatieobjecten en bijbehorende metagegevens rechtstreeks vanuit een interne of externe applicatie en/of voorziening in grote hoeveelheden tegelijk of individueel in te winnen.</t>
  </si>
  <si>
    <t>Inwinning</t>
  </si>
  <si>
    <t>M</t>
  </si>
  <si>
    <t>NEN-ISO 16175-1:2020, R.1.1.4</t>
  </si>
  <si>
    <t>Het moet mogelijk zijn om op elk aggregatieniveau een uniek identificatiekenmerk toe te wijzen aan informatieobjecten. Het kenmerk is uniek binnen de bijbehorende bron.</t>
  </si>
  <si>
    <t>Metagegevensbeheer</t>
  </si>
  <si>
    <t>NEN-ISO 16175-1:2020, R.1.2.2;
NEN-ISO 15489-1:2016, 9.3;
MDTO-identificatiekenmerk</t>
  </si>
  <si>
    <t>R03</t>
  </si>
  <si>
    <t>Het moet mogelijk zijn om vooraf te configureren welke metagegevenselementen bij een informatieobject worden vastgelegd.</t>
  </si>
  <si>
    <t>NEN-ISO 16175-1:2020, R.1.2.3</t>
  </si>
  <si>
    <t>R04</t>
  </si>
  <si>
    <t>Het moet mogelijk zijn om bij creatie of opname van een informatieobject met metagegevens (conditionele) bewaartermijnen toe te kennen conform de vigerende selectielijst.</t>
  </si>
  <si>
    <t>NEN-ISO 16175-1:2020, R.2.1.1</t>
  </si>
  <si>
    <t>R05</t>
  </si>
  <si>
    <t>Het moet mogelijk zijn om de inhoud van metagegevens op een geautoriseerde manier en volgens vastgesteld beleid te wijzigen.</t>
  </si>
  <si>
    <t>NEN-ISO 16175-1:2020, R.3.1.1</t>
  </si>
  <si>
    <t>R06</t>
  </si>
  <si>
    <t>Het moet mogelijk zijn, indien er van digitale handtekeningen gebruik gemaakt wordt, om de metagegevens die het gebruik van een digitale handtekening registreren (datum, tijd en validatie) te documenteren. En blijvend bij het informatieobject op te slaan.</t>
  </si>
  <si>
    <t>NEN-ISO 16175-1:2020, R.3.1.5</t>
  </si>
  <si>
    <t>R07</t>
  </si>
  <si>
    <t>Het moet mogelijk zijn om de metagegevens vast te leggen overeenkomstig één of meerdere vooraf vastgestelde metagegevensschema's.</t>
  </si>
  <si>
    <t>Archiefregeling art. 17;
NEN-ISO 16175-1:2020, R.1.2.1;
NEN-ISO 15489-1:2016, 9.3</t>
  </si>
  <si>
    <t>R08</t>
  </si>
  <si>
    <t>Het moet mogelijk zijn om bepaalde metagegevens handmatig in te voeren.</t>
  </si>
  <si>
    <t>NEN-ISO 16175-1:2020, R.1.2.4</t>
  </si>
  <si>
    <t>R09</t>
  </si>
  <si>
    <t>Het moet mogelijk zijn om toegangs-, gebruiks- en beveiligingsmetagegevens te creëren en te onderhouden die beveiligde registraties van gebeurtenissen genereren voor informatieobjecten op elk aggregatieniveau. Daarmee kun je de toegang tot en het gebruik van informatieobjecten bijhouden (logging) en documenteren.</t>
  </si>
  <si>
    <t>NEN-ISO 16175-1:2020, R.4.2.3;
NEN-ISO 16175-1:2020, R.3.1.4</t>
  </si>
  <si>
    <t>R10</t>
  </si>
  <si>
    <t>Het moet mogelijk zijn om informatieobjecten en bijbehorende metagegevens op te nemen.</t>
  </si>
  <si>
    <t>Opname</t>
  </si>
  <si>
    <t>NEN-ISO 16175-1:2020, R.1.1.1</t>
  </si>
  <si>
    <t>R11</t>
  </si>
  <si>
    <t>Het moet mogelijk zijn om het opnemen van informatieobjecten in gangbare, open bestandsformaten en/of oorspronkelijke bestandsformaten te ondersteunen.</t>
  </si>
  <si>
    <t>NEN-ISO 16175-1:2020, R.1.1.5</t>
  </si>
  <si>
    <t>R12</t>
  </si>
  <si>
    <t>Het moet mogelijk zijn om informatieobjecten en bijbehorende metagegevens op te slaan.</t>
  </si>
  <si>
    <t>Opslag</t>
  </si>
  <si>
    <t>NEN-ISO 16175-1:2020, R.3.2.1</t>
  </si>
  <si>
    <t>R13</t>
  </si>
  <si>
    <t>Het moet mogelijk zijn om op verschillende aggregatieniveaus (Afgestemd op de behoefte van de organisatie of het proces) van informatieobjecten toegangsrechten toe te kennen.</t>
  </si>
  <si>
    <t>Toegangsbeheer</t>
  </si>
  <si>
    <t>NEN-ISO 16175-1:2020, R.4.2.1;
NEN-ISO 16175-1:2020, 4.2.2;
BIO Thema-uitwerking Toegangsbeveiliging (cip-overheid.nl);</t>
  </si>
  <si>
    <t>R14</t>
  </si>
  <si>
    <t>Het moet mogelijk zijn om de waarden van metagegevens en informatieobjecten te valideren aan de hand van vooraf vastgestelde schema’s en/of syntactische standaarden.</t>
  </si>
  <si>
    <t>Validatie</t>
  </si>
  <si>
    <t>NEN-ISO 16175-1:2020, R.1.2.5</t>
  </si>
  <si>
    <t>R15</t>
  </si>
  <si>
    <t>Het moet mogelijk zijn om de integriteit van informatieobjecten en de bijbehorende metagegevens te valideren aan de hand van aanvullende criteria zoals checksums of elektronische handtekening. Dit met name bij inwinning en opname.</t>
  </si>
  <si>
    <t>NEN-ISO 16175-1:2020, R.1.1.4;
BIO Thema-uitwerking Toegangsbeveiliging (cip-overheid.nl)</t>
  </si>
  <si>
    <t>R16</t>
  </si>
  <si>
    <t>Het behoort mogelijk te zijn om gangbare formaten (of combinaties daarvan) voor elementen of eigenschappen van metagegevens (zoals XML) vast te leggen.</t>
  </si>
  <si>
    <t>S</t>
  </si>
  <si>
    <t>NEN-ISO 16175-1:2020, R.1.2.6</t>
  </si>
  <si>
    <t>R17</t>
  </si>
  <si>
    <t>Het behoort mogelijk te zijn om informatieobjecten te verrijken of aan te passen met additionele metagegevens op een geautoriseerde manier. En volgens vastgesteld beleid.</t>
  </si>
  <si>
    <t>NEN-ISO 16175-1:2020, R.1.2.8</t>
  </si>
  <si>
    <t>R18</t>
  </si>
  <si>
    <t>Het behoort mogelijk te zijn om workflowgegevens (bijvoorbeeld resultaatgegevens zoals goedkeuring) die verband houden met informatie-objecten op te nemen en te relateren aan de desbetreffende informatieobjecten.</t>
  </si>
  <si>
    <t>NEN-ISO 16175-1:2020, R.1.2.7</t>
  </si>
  <si>
    <t>R19</t>
  </si>
  <si>
    <t>Het behoort mogelijk te zijn om informatieobjecten en bijbehorende metagegevens zowel in bulk als individueel op te nemen. De integriteit van de inhoud en structuur van informatieobjecten kan hierbij worden gegarandeerd.</t>
  </si>
  <si>
    <t>V01</t>
  </si>
  <si>
    <t>Vernietigen</t>
  </si>
  <si>
    <t>Het moet mogelijk zijn om voldoende metagegevens toe te kennen om het moment van vernietiging te kunnen berekenen.</t>
  </si>
  <si>
    <t>V02</t>
  </si>
  <si>
    <t>Het moet mogelijk zijn om de bewaartermijn op verschillende aggregatie-niveaus vast te leggen (bijv. dossier, document).</t>
  </si>
  <si>
    <t>V03</t>
  </si>
  <si>
    <t>Het moet op elk aggregatieniveau mogelijk zijn om de bewaartermijn aan te passen.</t>
  </si>
  <si>
    <t>V04</t>
  </si>
  <si>
    <t>Het moet mogelijk zijn om afwijkingen van een bewaartermijn te documenteren en toe te lichten.</t>
  </si>
  <si>
    <t>Handreiking Digitaal vernietigen</t>
  </si>
  <si>
    <t>V05</t>
  </si>
  <si>
    <t>Het moet mogelijk zijn om vernietiging alleen door bevoegde personen uit te laten voeren.</t>
  </si>
  <si>
    <t>NEN-ISO 16175-1:2020, R.4.2.2</t>
  </si>
  <si>
    <t>V06</t>
  </si>
  <si>
    <t>Het moet mogelijk zijn om vernietigingslijsten beschikbaar te maken in een open bestandsformaat, conform de Norm Voorkeursformaten of een organisatiespecifieke standaard</t>
  </si>
  <si>
    <t>Verantwoording</t>
  </si>
  <si>
    <t>NEN-ISO 16175-1:2020, R.2.2.1</t>
  </si>
  <si>
    <t>V07</t>
  </si>
  <si>
    <t>Het moet mogelijk zijn om een rapport te genereren waaruit blijkt dat de in de vernietigingslijst vermelde informatieobjecten daadwerkelijk zijn vernietigd.</t>
  </si>
  <si>
    <t>NEN-ISO 16175-1:2020, R.2.1.5; Archiefbesluit art. 8</t>
  </si>
  <si>
    <t>V08</t>
  </si>
  <si>
    <t>Het moet mogelijk zijn om informatieobjecten en hieraan verbonden metagegevens te vernietigen.</t>
  </si>
  <si>
    <t>Vernietiging</t>
  </si>
  <si>
    <t>NEN-ISO 16175-1:2020, R.2.1.6;
NEN-ISO 15489-1:2016, 9.9;
BIO 8.3.2.3</t>
  </si>
  <si>
    <t>V09</t>
  </si>
  <si>
    <t>Het moet mogelijk zijn om informatieobjecten in één keer in alle aangesloten bronnen te vernietigen, voor zover hier bevoegdheid toe is.</t>
  </si>
  <si>
    <t>NEN-ISO 16175-1:2020, R.2.1.6</t>
  </si>
  <si>
    <t>V10</t>
  </si>
  <si>
    <t>Het moet mogelijk zijn om een overzicht te creëren van informatieobjecten die voor vernietiging in aanmerking komen.</t>
  </si>
  <si>
    <t>Zoeken</t>
  </si>
  <si>
    <t>V11</t>
  </si>
  <si>
    <t>Het behoort mogelijk te zijn om bewaartermijnen in bulk aan te passen. En in te stellen of dit met terugwerkende kracht moet of vanaf een bepaalde datum. Ook kan de reden van aanpassing worden vastgelegd.</t>
  </si>
  <si>
    <t>V12</t>
  </si>
  <si>
    <t>Het behoort mogelijk te zijn om één of meerdere (gemandateerde) collega’s toegang te geven tot (delen van) de vernietigingslijst. Zodat ze die kunnen beoordelen.</t>
  </si>
  <si>
    <t>NEN-ISO 16175-1:2020, R.2.1.8</t>
  </si>
  <si>
    <t>V13</t>
  </si>
  <si>
    <t>Het behoort mogelijk te zijn om gebruikershandelingen in het vernietigingsproces vast te leggen.</t>
  </si>
  <si>
    <t>NEN-ISO 15489-1:2016, 9.9</t>
  </si>
  <si>
    <t>V14</t>
  </si>
  <si>
    <t>Het behoort mogelijk te zijn om vernietigingslijsten te genereren op basis van beschikbare metagegevensvelden.</t>
  </si>
  <si>
    <t>NEN-ISO 16175-1:2020, R.2.1.2</t>
  </si>
  <si>
    <t>V15</t>
  </si>
  <si>
    <t>Het behoort mogelijk te zijn om van vernietigingslijsten een geanonimiseerde en een niet-geanonimiseerde versie te maken.</t>
  </si>
  <si>
    <t>V16</t>
  </si>
  <si>
    <t>Het behoort mogelijk te zijn om de uitvoering van het vernietigingsproces te automatiseren (waar wenselijk en juridisch toegestaan).</t>
  </si>
  <si>
    <t>Handreiking Digitaal vernietigen;
NEN-ISO 16175-1:2020, R.2.1.1</t>
  </si>
  <si>
    <t>V17</t>
  </si>
  <si>
    <t>Het behoort mogelijk te zijn om in bulk te vernietigen.</t>
  </si>
  <si>
    <t>V18</t>
  </si>
  <si>
    <t>Het is mogelijk om in een overzicht van voor vernietiging in aanmerking komende informatieobjecten verwijzingen op te nemen naar de vermelde informatieobjecten.</t>
  </si>
  <si>
    <t>C</t>
  </si>
  <si>
    <t>NEN-ISO 16175-1:2020, R.2.1.5;
NEN-ISO 16175-1:2020, R.4.1.5</t>
  </si>
  <si>
    <t>V19</t>
  </si>
  <si>
    <t>Het is mogelijk om een vernietigingsactie (tijdelijk) stop te zetten.</t>
  </si>
  <si>
    <t>NEN-ISO 16175-1:2020, R.2.1.4; Handreiking Digitaal vernietigen</t>
  </si>
  <si>
    <t>Bewaren</t>
  </si>
  <si>
    <t>Het moet mogelijk zijn om de inhoud van informatieobjecten en metagegevens onveranderlijk te maken of te beschermen tegen onbevoegde wijziging.</t>
  </si>
  <si>
    <t>Bevriezing</t>
  </si>
  <si>
    <t>B02</t>
  </si>
  <si>
    <t>Het moet mogelijk zijn om informatieobjecten naar een geschikter of actueler bestandsformaat te converteren om de duurzame toegankelijkheid te waarborgen. De conversie vindt plaats zonder onacceptabel verlies van informatie.</t>
  </si>
  <si>
    <t>Conversie</t>
  </si>
  <si>
    <t>B03</t>
  </si>
  <si>
    <t>B04</t>
  </si>
  <si>
    <t>Het moet mogelijk zijn, indien er van digitale handtekeningen gebruik gemaakt wordt, om de metagegevens die het gebruik van een digitale handtekening registreren (datum, tijd en validatie), te documenteren en blijvend bij het informatieobject op te slaan.</t>
  </si>
  <si>
    <t>B05</t>
  </si>
  <si>
    <t>B06</t>
  </si>
  <si>
    <t xml:space="preserve">Het moet mogelijk zijn om de informatieobjecten en de bijbehorende metagegevens zodanig op te slaan dat ze door de tijd, gedurende hun bewaartermijn, toegankelijk en opvraagbaar blijven voor bevoegde actoren. </t>
  </si>
  <si>
    <t>B07</t>
  </si>
  <si>
    <t>Het moet mogelijk zijn om routinematig elke gebruiker te autoriseren wanneer informatieobjecten een bepaald rechtenniveau vereisen.</t>
  </si>
  <si>
    <t>NEN-ISO 16175-1:2020, R.3.1.3</t>
  </si>
  <si>
    <t>B08</t>
  </si>
  <si>
    <t>Het moet mogelijk zijn om beveiligings- en toegangsbeperkingen toe te passen zodat gebruikers alleen toegang hebben tot die informatieobjecten waar zij rechten toe hebben.</t>
  </si>
  <si>
    <t>NEN-ISO 16175-1:2020, R.4.2.1</t>
  </si>
  <si>
    <t>Het moet mogelijk zijn om technische integriteits-controle op bepaalde momenten te ondersteunen met checksums, hashes of andere mechanismen.</t>
  </si>
  <si>
    <t>NEN-ISO 16175-1:2020, R.3.1.2,</t>
  </si>
  <si>
    <t>B10</t>
  </si>
  <si>
    <t>Het moet mogelijk zijn om op elk bestand een viruscheck uit te voeren.</t>
  </si>
  <si>
    <t>Moreq2010 N12.7.5</t>
  </si>
  <si>
    <t>B11</t>
  </si>
  <si>
    <t>Het moet mogelijk zijn om rapporten te genereren over acties die samenhangen met opname, gebruik en beheer van informatieobjecten.</t>
  </si>
  <si>
    <t>NEN-ISO 16175-1:2020, R.3.2.2; 
NEN-ISO 16175-1:2020, R.3.2.3,</t>
  </si>
  <si>
    <t>B12</t>
  </si>
  <si>
    <t>Het moet mogelijk zijn automatisch de gegevens van alle authenticatie- en veiligheidsgerelateerde activiteiten (onbevoegde toegang en gebruik) op te nemen en te laten zien. De vastgelegde loggegevens zijn begrijpelijk voor mensen.</t>
  </si>
  <si>
    <t>NEN-ISO 16175-1:2020, R.3.1.4</t>
  </si>
  <si>
    <t>B13</t>
  </si>
  <si>
    <t>Het moet mogelijk zijn gebruikers van hulpmiddelen te voorzien voor het zoeken en opvragen van informatieobjecten en/of metagegevens.</t>
  </si>
  <si>
    <t>NEN-ISO 16175-1:2020, R.4.1.1</t>
  </si>
  <si>
    <t>B14</t>
  </si>
  <si>
    <t>Het behoort mogelijk te zijn om conversie van informatieobjecten naar een geschikter of actueler bestandsformaat in bulk uit te voeren.</t>
  </si>
  <si>
    <t>B15</t>
  </si>
  <si>
    <t>Het behoort mogelijk te zijn om goedgekeurde metagegevensprofielen of -schema's door de tijd te beheren, te onderhouden en/of koppelingen ernaartoe te realiseren. Op zo’n manier dat het op geautomatiseerde wijze opnemen en onderhouden van gevalideerde metagegevens-waarden voor informatie-objecten en aggregaties van informatieobjecten wordt ondersteund.</t>
  </si>
  <si>
    <t>NEN-ISO 16175-1:2020, R.3.2.4</t>
  </si>
  <si>
    <t>B16</t>
  </si>
  <si>
    <t>Het behoort mogelijk te zijn om bevestigingsdetails voor digitale handtekeningen dusdanig op te nemen dat ze samen met het informatieobject kunnen worden opgevraagd. Zonder de integriteit van een privésleutel aan te tasten.</t>
  </si>
  <si>
    <t>NEN-ISO 16175-1:2020, R.3.1.6</t>
  </si>
  <si>
    <t>B17</t>
  </si>
  <si>
    <t>Het is mogelijk om een (door de organisatie vastgesteld) classificatieschema voor bedrijfsactiviteiten te beheren en onderhouden.</t>
  </si>
  <si>
    <t>NEN-ISO 16175-1:2020, R.1.4.1</t>
  </si>
  <si>
    <t>M01</t>
  </si>
  <si>
    <t>Migreren</t>
  </si>
  <si>
    <t>M02</t>
  </si>
  <si>
    <t>M03</t>
  </si>
  <si>
    <t>M04</t>
  </si>
  <si>
    <t>Het moet mogelijk zijn om de informatieobjecten en de bijbehorende metagegevens zodanig op te slaan dat ze door de tijd, gedurende hun bewaartermijn, toegankelijk en opvraagbaar blijven voor bevoegde gebruikers.</t>
  </si>
  <si>
    <t>M05</t>
  </si>
  <si>
    <t>Het moet mogelijk zijn om beveiligings- en toegangsbeperkingen toe te passen conform de BIO (Baseline Informatiebeveiliging Overheid), zodat gebruikers toegang krijgen tot informatieobjecten, in overeenstemming met hun rechten en zodat de inhoud van informatieobjecten beschermd wordt tegen toegang, wijziging of vernietiging door onbevoegden.</t>
  </si>
  <si>
    <t>NEN-ISO 16175-1:2020, R.4.2.1;
BIO, hoofdstuk 9 (Toegangs-beveiliging)</t>
  </si>
  <si>
    <t>M06</t>
  </si>
  <si>
    <t xml:space="preserve">Het moet mogelijk zijn om informatieobjecten en (indien van toepassing) aggregaties van informatieobjecten, met bijbehorende metagegevens te exporteren in gangbare bestandsformaten. </t>
  </si>
  <si>
    <t>Uitwisseling</t>
  </si>
  <si>
    <t>M07</t>
  </si>
  <si>
    <t>Het moet mogelijk zijn om informatieobjecten en, indien van toepassing aggregaties van informatieobjecten, met bijbehorende metagegevens (individueel of in grote hoeveelheden) te exporteren, zonder dat de inhoud en structuur worden aangetast.</t>
  </si>
  <si>
    <t>NEN-ISO 16175-1:2020, R.2.2.3</t>
  </si>
  <si>
    <t>M08</t>
  </si>
  <si>
    <t>Het moet mogelijk zijn om informatieobjecten meer dan eens uit te wisselen.</t>
  </si>
  <si>
    <t>NEN-ISO 16175-1:2020, R.2.2.5</t>
  </si>
  <si>
    <t>M09</t>
  </si>
  <si>
    <t>Het moet mogelijk zijn om informatieobjecten en bijbehorende metagegevens in grote hoeveelheden tegelijk of individueel op te nemen waarbij de integriteit van de inhoud en de structuur van de informatieobjecten kan worden gegarandeerd.</t>
  </si>
  <si>
    <t>M10</t>
  </si>
  <si>
    <t>Het moet mogelijk zijn om te toetsen en te valideren dat de informatieobjecten in een exportbestand (technisch) integer en volledig zijn.</t>
  </si>
  <si>
    <t>NEN-ISO 16175-1:2020, R.2.2.4</t>
  </si>
  <si>
    <t>M11</t>
  </si>
  <si>
    <t>Het moet mogelijk zijn om te toetsen dat de informatieobjecten na importeren (technisch) integer en volledig zijn.</t>
  </si>
  <si>
    <t>M12</t>
  </si>
  <si>
    <t>Het moet mogelijk zijn om migratie en/of conversieprocessen te volgen en te documenteren.</t>
  </si>
  <si>
    <t>NEN-ISO 13008:2022, 7.3.9</t>
  </si>
  <si>
    <t>M13</t>
  </si>
  <si>
    <t>Het moet mogelijk zijn om een overzicht te creëren van informatieobjecten die zijn gemigreerd en/of geconverteerd.</t>
  </si>
  <si>
    <t>NEN-ISO 16175-1:2020, R.4.1.1; Archiefregeling art. 25 lid 2</t>
  </si>
  <si>
    <t>M14</t>
  </si>
  <si>
    <t>M15</t>
  </si>
  <si>
    <t xml:space="preserve">Het behoort mogelijk te zijn om (indien van toepassing) van alle versleutelde informatieobjecten de sleutel en encryptiemechanisme mee te nemen in het DUTO-proces migreren. </t>
  </si>
  <si>
    <t>NEN-ISO 16175-1:2020, R.3.1.7</t>
  </si>
  <si>
    <t>T01</t>
  </si>
  <si>
    <t>Ter beschikking stellen</t>
  </si>
  <si>
    <t>T02</t>
  </si>
  <si>
    <t xml:space="preserve">Het moet mogelijk zijn om toegangs-, gebruiks- en beveiligingsmetagegevens te maken en te onderhouden die beveiligde registraties van gebeurtenissen genereren voor informatieobjecten op elk aggregatieniveau. Daarmee kun je de toegang tot en het gebruik van informatieobjecten bijhouden (logging) en documenteren. </t>
  </si>
  <si>
    <t>T03</t>
  </si>
  <si>
    <t>Het moet mogelijk zijn om metagegevens toe te voegen om toegang tot en gebruik van de informatieobjecten te faciliteren.</t>
  </si>
  <si>
    <t>NEN-ISO 16175-1:2020, R.1.2.1</t>
  </si>
  <si>
    <t>T04</t>
  </si>
  <si>
    <t>Het moet mogelijk zijn om informatieobjecten waar dat gepast voor is, weer te geven in de omgeving waar ze zijn gevonden. Zonder dat een gebruiker extra handelingen hoeft te verrichten.</t>
  </si>
  <si>
    <t>Publicatie</t>
  </si>
  <si>
    <t>NEN-ISO 16175-1:2020, R.4.1.2</t>
  </si>
  <si>
    <t>T05</t>
  </si>
  <si>
    <t>Het moet mogelijk zijn gebruikers van hulpmiddelen te voorzien voor het opvragen en/of downloaden van informatieobjecten.</t>
  </si>
  <si>
    <t>T06</t>
  </si>
  <si>
    <t>Het moet mogelijk zijn om informatieobjecten digitoegankelijk beschikbaar te stellen, volgens geldende wet- en regelgeving.</t>
  </si>
  <si>
    <t>Representatie</t>
  </si>
  <si>
    <t>Tijdelijk besluit digitale toegankelijkheid overheid</t>
  </si>
  <si>
    <t>T07</t>
  </si>
  <si>
    <t>Het moet mogelijk zijn dat, indien er gebruik wordt gemaakt van websites en mobiele applicaties voor het beschikbaar stellen van informatieobjecten, deze digitoegankelijk zijn volgens geldende wet- en regelgeving.</t>
  </si>
  <si>
    <t>T08</t>
  </si>
  <si>
    <t>Het moet mogelijk zijn om beveiligings- en toegangsbeperkingen toe te passen conform de BIO (Baseline Informatiebeveiliging Overheid). Zodat gebruikers toegang krijgen tot informatieobjecten, in overeenstemming met hun rechten. En zodat de inhoud van informatieobjecten beschermd wordt tegen toegang, wijziging of vernietiging door onbevoegden.</t>
  </si>
  <si>
    <t>T09</t>
  </si>
  <si>
    <t>Bij het ter beschikkingstellen van gegevenssets moet het mogelijk zijn om daarbij een beschrijving beschikbaar te maken. Zodat een gebruiker de gegevens op een goede manier kan interpreteren en kan gebruiken in een toepassing.</t>
  </si>
  <si>
    <t>Handreiking open data 2.0 (KOOP) 4.1</t>
  </si>
  <si>
    <t>T10</t>
  </si>
  <si>
    <t>Het moet mogelijk zijn om op (selecties van) de informatieobjecten en de bijbehorende metagegevens te zoeken.</t>
  </si>
  <si>
    <t>T11</t>
  </si>
  <si>
    <t>T12</t>
  </si>
  <si>
    <t>Het behoort mogelijk te zijn om een gemaskeerde versie van een informatieobject te maken, waarbij:
a) gevoelige informatie aan het zicht wordt onttrokken, terwijl 
b) het oorspronkelijke informatieobject intact blijft en 
c) de metagegevens die het maken van de gemaskeerde versie documenteren, worden gegenereerd en opgenomen.</t>
  </si>
  <si>
    <t>Maskering</t>
  </si>
  <si>
    <t>NEN-ISO 16175-1:2020, R.4.3.2</t>
  </si>
  <si>
    <t>T13</t>
  </si>
  <si>
    <t>Het behoort mogelijk te zijn om een uittreksel te maken van een informatieobject, waarbij:
a) gevoelige informatie wordt verwijderd, terwijl 
b) het oorspronkelijke informatieobject intact blijft en 
c) de metagegevens die het maken van het uittreksel documenteren, worden gegenereerd en opgenomen.</t>
  </si>
  <si>
    <t>T14</t>
  </si>
  <si>
    <t>Het behoort mogelijk te zijn om unieke persistente identificatiecodes aan te maken voor elke versie of manifestatie van een informatieobject.</t>
  </si>
  <si>
    <t>FAIR-principe F1</t>
  </si>
  <si>
    <t>T15</t>
  </si>
  <si>
    <t>Het is mogelijk mechanismen te ondersteunen voor het maken van publicatieversies van informatieobjecten.</t>
  </si>
  <si>
    <t>NEN-ISO 16175-1:2020, R.4.3.1</t>
  </si>
  <si>
    <t>T16</t>
  </si>
  <si>
    <t>Het is mogelijk om informatieobjecten en metagegevens beschikbaar te stellen op mobiele apparaten.</t>
  </si>
  <si>
    <t>NEN-ISO 16175-1:2020, R.4.1.4</t>
  </si>
  <si>
    <t>T17</t>
  </si>
  <si>
    <t>Het is mogelijk voor gebruikers om gepersonaliseerde weergaven van zoekresultaten te configureren.</t>
  </si>
  <si>
    <t>NEN-ISO 16175-1:2020, R.4.1.5</t>
  </si>
  <si>
    <t>T18</t>
  </si>
  <si>
    <t>Het is mogelijk om informatieobjecten en/of (meta)gegevens beschikbaar te stellen voor gebruik door externe platformen, diensten en/of applicaties.</t>
  </si>
  <si>
    <t>NEN-ISO 16175-1:2020, R.4.1.7</t>
  </si>
  <si>
    <t>T19</t>
  </si>
  <si>
    <t>Het is mogelijk bij het beschikbaar stellen van informatieobjecten en/of metagegevens dat gebruikers terugmeldingen kunnen doen over de weergave en de kwaliteit.</t>
  </si>
  <si>
    <t>Module</t>
  </si>
  <si>
    <t>Randvoorwaarde</t>
  </si>
  <si>
    <t>Nadere toelichting</t>
  </si>
  <si>
    <t>Generiek deel</t>
  </si>
  <si>
    <r>
      <t>Er is </t>
    </r>
    <r>
      <rPr>
        <b/>
        <sz val="10"/>
        <color theme="1"/>
        <rFont val="Verdana"/>
        <family val="2"/>
      </rPr>
      <t>beleid voor duurzame toegankelijkheid</t>
    </r>
    <r>
      <rPr>
        <sz val="11"/>
        <color theme="1"/>
        <rFont val="Calibri"/>
        <family val="2"/>
        <scheme val="minor"/>
      </rPr>
      <t> dat (formeel) is vastgesteld en verankerd binnen de organisatie. Dit beleid bepaalt bijvoorbeeld welke technische en organisatorische maatregelen genomen moeten worden en hoe deze maatregelen vorm krijgen in de praktijk. Bijvoorbeeld bij het inrichten van procedures, het vormgeven van de administratieve organisatie, en het uitvoeren van een PDCA-cyclus (</t>
    </r>
    <r>
      <rPr>
        <i/>
        <sz val="10"/>
        <color theme="1"/>
        <rFont val="Verdana"/>
        <family val="2"/>
      </rPr>
      <t>Plan, Do, Check, Act</t>
    </r>
    <r>
      <rPr>
        <sz val="11"/>
        <color theme="1"/>
        <rFont val="Calibri"/>
        <family val="2"/>
        <scheme val="minor"/>
      </rPr>
      <t>). Rollen en verantwoordelijkheden voor de uitvoer van het beleid worden hierin ook belegd. De organisatie beoordeelt dit beleid periodiek en stelt het zo nodig bij. Dit kan in aansluiting op reguliere planning-en-controlcycli. Of naar aanleiding van interne of externe ontwikkelingen. </t>
    </r>
  </si>
  <si>
    <t>RVW02</t>
  </si>
  <si>
    <r>
      <t>Er is een </t>
    </r>
    <r>
      <rPr>
        <b/>
        <sz val="10"/>
        <color theme="1"/>
        <rFont val="Verdana"/>
        <family val="2"/>
      </rPr>
      <t>preserveringsstrategie</t>
    </r>
    <r>
      <rPr>
        <sz val="11"/>
        <color theme="1"/>
        <rFont val="Calibri"/>
        <family val="2"/>
        <scheme val="minor"/>
      </rPr>
      <t>. Deze bepaalt hoe de instandhouding op lange termijn van de informatieobjecten wordt geborgd. Onderwerpen die daarin kunnen voorkomen zijn vervanging, migratie, conversie en emulatie. Deze strategie beoordeel je periodiek. En stel je zo nodig bij.</t>
    </r>
  </si>
  <si>
    <t>https://www.nationaalarchief.nl/archiveren/preservering</t>
  </si>
  <si>
    <r>
      <t xml:space="preserve">Er is een </t>
    </r>
    <r>
      <rPr>
        <b/>
        <sz val="10"/>
        <color theme="1"/>
        <rFont val="Verdana"/>
        <family val="2"/>
      </rPr>
      <t>kwaliteitssysteem</t>
    </r>
    <r>
      <rPr>
        <sz val="11"/>
        <color theme="1"/>
        <rFont val="Calibri"/>
        <family val="2"/>
        <scheme val="minor"/>
      </rPr>
      <t xml:space="preserve"> dat toetsbare eisen bevat voor het duurzaam  toegankelijk beheren van overheidsinformatie. Archiefregeling artikel 16 geeft bijvoorbeeld aan dat overheidsorganisaties ervoor moeten zorgen dat het beheer van archief voldoet aan toetsbare eisen van een door hen toe te passen kwaliteitssysteem.</t>
    </r>
  </si>
  <si>
    <t>RVW04</t>
  </si>
  <si>
    <r>
      <t xml:space="preserve">Er is </t>
    </r>
    <r>
      <rPr>
        <b/>
        <sz val="10"/>
        <color theme="1"/>
        <rFont val="Verdana"/>
        <family val="2"/>
      </rPr>
      <t xml:space="preserve">voldoende en deskundig personeel </t>
    </r>
    <r>
      <rPr>
        <sz val="11"/>
        <color theme="1"/>
        <rFont val="Calibri"/>
        <family val="2"/>
        <scheme val="minor"/>
      </rPr>
      <t>om de duurzame toegankelijkheid van overheidsinformatie in de organisatie te borgen.</t>
    </r>
  </si>
  <si>
    <t>RVW05</t>
  </si>
  <si>
    <r>
      <t>Er is </t>
    </r>
    <r>
      <rPr>
        <b/>
        <sz val="10"/>
        <color theme="1"/>
        <rFont val="Verdana"/>
        <family val="2"/>
      </rPr>
      <t>opleiding en training</t>
    </r>
    <r>
      <rPr>
        <sz val="11"/>
        <color theme="1"/>
        <rFont val="Calibri"/>
        <family val="2"/>
        <scheme val="minor"/>
      </rPr>
      <t> over duurzame toegankelijkheid van informatie. Alle medewerkers van de organisatie krijgen een passende instructie. Ze zijn zich daardoor bewust van beleidsregels en procedures van de organisatie op dit gebied.</t>
    </r>
  </si>
  <si>
    <t>RVW06</t>
  </si>
  <si>
    <r>
      <t xml:space="preserve">De organisatie heeft doorlopend </t>
    </r>
    <r>
      <rPr>
        <b/>
        <sz val="10"/>
        <color theme="1"/>
        <rFont val="Verdana"/>
        <family val="2"/>
      </rPr>
      <t>actueel beheer van toegangsrechten</t>
    </r>
    <r>
      <rPr>
        <sz val="11"/>
        <color theme="1"/>
        <rFont val="Calibri"/>
        <family val="2"/>
        <scheme val="minor"/>
      </rPr>
      <t xml:space="preserve"> voor gebruikers ingericht. Zo zorg je dat alleen bevoegde gebruikers de DUTO-processen en -functies uitvoeren. Je voorkomt hiermee onbevoegde toegang.</t>
    </r>
  </si>
  <si>
    <t>https://cip-overheid.nl/media/uvplkjfz/20230322-bio-thema-uitwerking-toegangsbeveiliging-v22-def.pdf</t>
  </si>
  <si>
    <r>
      <t xml:space="preserve">Er is </t>
    </r>
    <r>
      <rPr>
        <b/>
        <sz val="10"/>
        <color theme="1"/>
        <rFont val="Verdana"/>
        <family val="2"/>
      </rPr>
      <t>Identity and Access Management</t>
    </r>
    <r>
      <rPr>
        <sz val="11"/>
        <color theme="1"/>
        <rFont val="Calibri"/>
        <family val="2"/>
        <scheme val="minor"/>
      </rPr>
      <t>. Het gaat hierbij om alle noodzakelijke activiteiten om gebruikers (zowel mens als machine) op een gecontroleerde manier toegang te geven tot bijvoorbeeld een dienst.</t>
    </r>
  </si>
  <si>
    <t xml:space="preserve">https://www.noraonline.nl/wiki/Identity_%26_Access_Management_(IAM) </t>
  </si>
  <si>
    <t>RVW08</t>
  </si>
  <si>
    <r>
      <t xml:space="preserve">Er is een </t>
    </r>
    <r>
      <rPr>
        <b/>
        <sz val="10"/>
        <color theme="1"/>
        <rFont val="Verdana"/>
        <family val="2"/>
      </rPr>
      <t>(architectuur)overzicht</t>
    </r>
    <r>
      <rPr>
        <sz val="11"/>
        <color theme="1"/>
        <rFont val="Calibri"/>
        <family val="2"/>
        <scheme val="minor"/>
      </rPr>
      <t xml:space="preserve"> van processen, overheidsinformatie, applicaties, de gehanteerde standaarden en hun samenhang. Dit overzicht toont ook welke overheidsinformatie een organisatie in beheer heeft, waar deze informatie zich bevindt. En wie er verantwoordelijk voor is. De implementatiepatronen die binnen de organisatie gekozen zijn, neem je ook op in dit overzicht. Dit overzicht werkt de organisatie bij wanneer deze nieuwe ontwerpkeuzes maakt. Het overzicht kan worden vormgegeven in een architectuur.</t>
    </r>
  </si>
  <si>
    <r>
      <t xml:space="preserve">Er is een stelsel van </t>
    </r>
    <r>
      <rPr>
        <b/>
        <sz val="10"/>
        <color theme="1"/>
        <rFont val="Verdana"/>
        <family val="2"/>
      </rPr>
      <t>beheerafspraken</t>
    </r>
    <r>
      <rPr>
        <sz val="11"/>
        <color theme="1"/>
        <rFont val="Calibri"/>
        <family val="2"/>
        <scheme val="minor"/>
      </rPr>
      <t xml:space="preserve"> onderling in de organisatie, met verbonden partijen en leveranciers. Denk bijvoorbeeld aan een exitstrategie.</t>
    </r>
  </si>
  <si>
    <t>RVW10</t>
  </si>
  <si>
    <r>
      <t xml:space="preserve">Bij het inrichten van informatiesystemen gebruik je zoveel mogelijk </t>
    </r>
    <r>
      <rPr>
        <b/>
        <sz val="10"/>
        <color theme="1"/>
        <rFont val="Verdana"/>
        <family val="2"/>
      </rPr>
      <t>open standaarden</t>
    </r>
    <r>
      <rPr>
        <sz val="11"/>
        <color theme="1"/>
        <rFont val="Calibri"/>
        <family val="2"/>
        <scheme val="minor"/>
      </rPr>
      <t>. Denk bijvoorbeeld aan standaarden voor koppelingen tussen systemen of aan voorkeursformaten.</t>
    </r>
  </si>
  <si>
    <t>https://www.forumstandaardisatie.nl/open-standaarden</t>
  </si>
  <si>
    <t>RVW11</t>
  </si>
  <si>
    <r>
      <t>Er is een </t>
    </r>
    <r>
      <rPr>
        <b/>
        <sz val="10"/>
        <color theme="1"/>
        <rFont val="Verdana"/>
        <family val="2"/>
      </rPr>
      <t>classificatieschema</t>
    </r>
    <r>
      <rPr>
        <sz val="11"/>
        <color theme="1"/>
        <rFont val="Calibri"/>
        <family val="2"/>
        <scheme val="minor"/>
      </rPr>
      <t> dat informatieobjecten indeelt naar type of groepering. Een voorbeeld hiervan is de zaaktypecatalogus (ZTC). Een dergelijk metamodel van informatie kan bijvoorbeeld ook vanuit het perspectief van informatiebeveiliging nuttig zijn.  Als de informatie in alle informatiesystemen is geclassificeerd op basis van een expliciete risicoafweging, is duidelijk welke bescherming nodig is.</t>
    </r>
  </si>
  <si>
    <t>https://www.nationaalarchief.nl/archiveren/kennisbank/classificatieschema</t>
  </si>
  <si>
    <t>RVW12</t>
  </si>
  <si>
    <r>
      <t xml:space="preserve">Er is een </t>
    </r>
    <r>
      <rPr>
        <b/>
        <sz val="10"/>
        <color theme="1"/>
        <rFont val="Verdana"/>
        <family val="2"/>
      </rPr>
      <t>metagegevensschema</t>
    </r>
    <r>
      <rPr>
        <sz val="11"/>
        <color theme="1"/>
        <rFont val="Calibri"/>
        <family val="2"/>
        <scheme val="minor"/>
      </rPr>
      <t xml:space="preserve"> zoals bedoeld in NEN-ISO 23081-1. Het Nationaal Archief heeft een norm ontwikkeld die je hiervoor kunt gebruiken: Metagegevens voor Duurzaam Toegankelijke Overheidsinformatie (MDTO). Dit is een norm voor het vastleggen van en uitwisselen van eenduidige metagegevens om duurzame toegankelijkheid van overheidsinformatie mogelijk te maken.</t>
    </r>
  </si>
  <si>
    <t>https://www.nationaalarchief.nl/archiveren/mdto</t>
  </si>
  <si>
    <t>RVW13</t>
  </si>
  <si>
    <r>
      <t xml:space="preserve">Er is een </t>
    </r>
    <r>
      <rPr>
        <b/>
        <sz val="10"/>
        <color theme="1"/>
        <rFont val="Verdana"/>
        <family val="2"/>
      </rPr>
      <t>vastgestelde selectielijst</t>
    </r>
    <r>
      <rPr>
        <sz val="11"/>
        <color theme="1"/>
        <rFont val="Calibri"/>
        <family val="2"/>
        <scheme val="minor"/>
      </rPr>
      <t xml:space="preserve"> waarin vastgelegd wordt welke informatie bewaard blijft en wat vernietigd moet worden. Het maken van een selectielijst is wettelijk verplicht. Het maken van een selectielijst vraagt om een zorgvuldige procedure en methodiek.
Elke overheidsorganisatie heeft een selectielijst. Deze kunnen met hotspotlijsten aangevuld worden.</t>
    </r>
  </si>
  <si>
    <t>https://www.nationaalarchief.nl/archiveren/kennisbank/vastgestelde-selectielijsten</t>
  </si>
  <si>
    <t xml:space="preserve">Er is een procedure die de kwaliteit van het registratieproces (o.a. het vormgeven van de functie validatie) borgt. </t>
  </si>
  <si>
    <t>SRVW11</t>
  </si>
  <si>
    <r>
      <t xml:space="preserve">Er is een </t>
    </r>
    <r>
      <rPr>
        <b/>
        <sz val="10"/>
        <color theme="1"/>
        <rFont val="Verdana"/>
        <family val="2"/>
      </rPr>
      <t>procedure voor het vernietigen</t>
    </r>
    <r>
      <rPr>
        <sz val="11"/>
        <color theme="1"/>
        <rFont val="Calibri"/>
        <family val="2"/>
        <scheme val="minor"/>
      </rPr>
      <t>, inclusief een protocol voor de wijze van vernietigen en de wijze van verantwoorden. Onderdeel hiervan is bijvoorbeeld het inrichten van een proces om voor vernietiging in aanmerking komende informatieobjecten voorafgaand aan de vernietiging te controleren. (zie NPR-ISO/TR 15801:2009, 6.11).</t>
    </r>
  </si>
  <si>
    <t>https://www.nationaalarchief.nl/archiveren/kennisbank/handreiking-digitaal-vernietigen</t>
  </si>
  <si>
    <t>SRVW12</t>
  </si>
  <si>
    <r>
      <t xml:space="preserve">Er is beleid voor de </t>
    </r>
    <r>
      <rPr>
        <b/>
        <sz val="10"/>
        <color theme="1"/>
        <rFont val="Verdana"/>
        <family val="2"/>
      </rPr>
      <t>omgang met back-ups</t>
    </r>
    <r>
      <rPr>
        <sz val="11"/>
        <color theme="1"/>
        <rFont val="Calibri"/>
        <family val="2"/>
        <scheme val="minor"/>
      </rPr>
      <t>. Hierin staat hoe lang deze bewaard moeten worden. Daarbij is in ogenschouw genomen welke periode wenselijk is, bezien vanuit de mogelijkheid om vernietigde informatieobjecten alsnog te herstellen. Deze periode is zo kort mogelijk.</t>
    </r>
  </si>
  <si>
    <t>SRVW21</t>
  </si>
  <si>
    <r>
      <t xml:space="preserve">Er is een </t>
    </r>
    <r>
      <rPr>
        <b/>
        <sz val="10"/>
        <color theme="1"/>
        <rFont val="Verdana"/>
        <family val="2"/>
      </rPr>
      <t>lijst met voorkeursformaten</t>
    </r>
    <r>
      <rPr>
        <sz val="11"/>
        <color theme="1"/>
        <rFont val="Calibri"/>
        <family val="2"/>
        <scheme val="minor"/>
      </rPr>
      <t>.</t>
    </r>
  </si>
  <si>
    <t>SRVW31</t>
  </si>
  <si>
    <r>
      <t xml:space="preserve">Beredeneer de keuzes voor de migratie in een </t>
    </r>
    <r>
      <rPr>
        <b/>
        <sz val="10"/>
        <color theme="1"/>
        <rFont val="Verdana"/>
        <family val="2"/>
      </rPr>
      <t>migratieplan</t>
    </r>
    <r>
      <rPr>
        <sz val="11"/>
        <color theme="1"/>
        <rFont val="Calibri"/>
        <family val="2"/>
        <scheme val="minor"/>
      </rPr>
      <t>. Hierin komen technische en functionele vraagstukken aan de orde. Ook moet je organisatie nadenken over de  de bronapplicatie. En hoe lang ze deze in stand wil houden. Dit is belangrijk voor een rollback-plan (NEN-ISO 13008:2022, 6.2). Documenteer ook hoe de migratie is uitgevoerd. Beantwoord hierbij vragen als: is er afgeweken van het migratieplan; wat is het resultaat van de genomen besluiten; hoe is de migratie getest; wat was de uitkomst van die test; is er informatie verloren gegaan? </t>
    </r>
  </si>
  <si>
    <t>SRVW32</t>
  </si>
  <si>
    <r>
      <t xml:space="preserve">Er wordt (conform Archiefregeling art. 25 lid 2) een </t>
    </r>
    <r>
      <rPr>
        <b/>
        <sz val="10"/>
        <color theme="1"/>
        <rFont val="Verdana"/>
        <family val="2"/>
      </rPr>
      <t>verklaring van de migratie</t>
    </r>
    <r>
      <rPr>
        <sz val="11"/>
        <color theme="1"/>
        <rFont val="Calibri"/>
        <family val="2"/>
        <scheme val="minor"/>
      </rPr>
      <t xml:space="preserve"> opgesteld met ten minste een specificatie van de informatieobjecten die zijn gemigreerd.</t>
    </r>
  </si>
  <si>
    <t>SRVW33</t>
  </si>
  <si>
    <r>
      <t xml:space="preserve">Zorg voor een </t>
    </r>
    <r>
      <rPr>
        <b/>
        <sz val="10"/>
        <color theme="1"/>
        <rFont val="Verdana"/>
        <family val="2"/>
      </rPr>
      <t>exit-strategie</t>
    </r>
    <r>
      <rPr>
        <sz val="11"/>
        <color theme="1"/>
        <rFont val="Calibri"/>
        <family val="2"/>
        <scheme val="minor"/>
      </rPr>
      <t xml:space="preserve"> waarin afspraken staan (bijvoorbeeld met een leverancier) over het migreren. Bevoegde medewerkers van de opdrachtgever moeten namelijk gedurende een bepaalde periode toegang houden tot de informatieobjecten. Hoe lang die periode duurt, spreken je organisatie en de opdrachtnemer af in de exit-strategie.</t>
    </r>
  </si>
  <si>
    <t>SRVW41</t>
  </si>
  <si>
    <r>
      <t xml:space="preserve">Een </t>
    </r>
    <r>
      <rPr>
        <b/>
        <sz val="10"/>
        <color theme="1"/>
        <rFont val="Verdana"/>
        <family val="2"/>
      </rPr>
      <t>intern en/of extern platform</t>
    </r>
    <r>
      <rPr>
        <sz val="11"/>
        <color theme="1"/>
        <rFont val="Calibri"/>
        <family val="2"/>
        <scheme val="minor"/>
      </rPr>
      <t xml:space="preserve"> waarop overheidsinformatie ter beschikking wordt gesteld.</t>
    </r>
  </si>
  <si>
    <t>SRVW42</t>
  </si>
  <si>
    <r>
      <t xml:space="preserve">De duurzame toegankelijkheid van openbaargemaakte informatie wordt zo nodig gewaarborgd door </t>
    </r>
    <r>
      <rPr>
        <b/>
        <sz val="10"/>
        <color theme="1"/>
        <rFont val="Verdana"/>
        <family val="2"/>
      </rPr>
      <t>unieke persistente identificatiecodes</t>
    </r>
    <r>
      <rPr>
        <sz val="11"/>
        <color theme="1"/>
        <rFont val="Calibri"/>
        <family val="2"/>
        <scheme val="minor"/>
      </rPr>
      <t>. Zorg voor beleid waarin gedefinieerd staat hoe deze worden gevormd, worden beheerd en hoe de functionaliteit kan worden gewaarborgd</t>
    </r>
  </si>
  <si>
    <t>https://www.pidwijzer.nl</t>
  </si>
  <si>
    <t>SRVW43</t>
  </si>
  <si>
    <r>
      <t xml:space="preserve">In zoverre dat niet is geregeld in generiek beleid, leg aanvullende uitgangspunten vast voor:
a) de </t>
    </r>
    <r>
      <rPr>
        <b/>
        <sz val="10"/>
        <color theme="1"/>
        <rFont val="Verdana"/>
        <family val="2"/>
      </rPr>
      <t>kwaliteit van overheidsinformatie</t>
    </r>
    <r>
      <rPr>
        <sz val="11"/>
        <color theme="1"/>
        <rFont val="Calibri"/>
        <family val="2"/>
        <scheme val="minor"/>
      </rPr>
      <t xml:space="preserve"> (en onderliggende gegevens) die beschikbaar worden gesteld;
b) een </t>
    </r>
    <r>
      <rPr>
        <b/>
        <sz val="10"/>
        <color theme="1"/>
        <rFont val="Verdana"/>
        <family val="2"/>
      </rPr>
      <t>afwegingskader</t>
    </r>
    <r>
      <rPr>
        <sz val="11"/>
        <color theme="1"/>
        <rFont val="Calibri"/>
        <family val="2"/>
        <scheme val="minor"/>
      </rPr>
      <t xml:space="preserve"> voor het toepassen van toegangsbeperkingen;
c) </t>
    </r>
    <r>
      <rPr>
        <b/>
        <sz val="10"/>
        <color theme="1"/>
        <rFont val="Verdana"/>
        <family val="2"/>
      </rPr>
      <t>gebruiksbehoeften van de doelgroep</t>
    </r>
    <r>
      <rPr>
        <sz val="11"/>
        <color theme="1"/>
        <rFont val="Calibri"/>
        <family val="2"/>
        <scheme val="minor"/>
      </rPr>
      <t xml:space="preserve"> die gebruik maakt van overheidsinformatie die de organisatie ter beschikking stelt. </t>
    </r>
  </si>
  <si>
    <t>Max</t>
  </si>
  <si>
    <t>DUTO kenmerk</t>
  </si>
  <si>
    <t>Betrouwbaar</t>
  </si>
  <si>
    <t>Toekomstbestendig</t>
  </si>
  <si>
    <t>Beschikbaar</t>
  </si>
  <si>
    <t>Interpreteerbaar</t>
  </si>
  <si>
    <t>Vindbaar</t>
  </si>
  <si>
    <t>Kunnen informatieobjecten gedurende de bewaartermijn geopend en weergegeven worden?</t>
  </si>
  <si>
    <t>Wordt periodiek gecontroleerd of informatieobjecten nog leesbaar zijn?</t>
  </si>
  <si>
    <t>Leesbaar</t>
  </si>
  <si>
    <t>B06, T04, R11, M03</t>
  </si>
  <si>
    <t>B09, M10, M11, RVW03</t>
  </si>
  <si>
    <t xml:space="preserve">Oranje </t>
  </si>
  <si>
    <t xml:space="preserve">Geel </t>
  </si>
  <si>
    <t>Opname;Conversie</t>
  </si>
  <si>
    <t>Opslag;Publicatie;Opname</t>
  </si>
  <si>
    <t>Metagegevensbeheer;Verantwoording</t>
  </si>
  <si>
    <t>Verantwoording;Vernietiging</t>
  </si>
  <si>
    <t>Validatie;Verantwoording</t>
  </si>
  <si>
    <t>Zoeken;Vernietiging</t>
  </si>
  <si>
    <t>Opname;Inwinning</t>
  </si>
  <si>
    <t>DUTO functies</t>
  </si>
  <si>
    <t>Omschrijving functie</t>
  </si>
  <si>
    <t>Datamangement belang</t>
  </si>
  <si>
    <t>Datamangement risico</t>
  </si>
  <si>
    <t>Privacy belang</t>
  </si>
  <si>
    <t>Privacy risico</t>
  </si>
  <si>
    <t>Informatiebeveiliging belang</t>
  </si>
  <si>
    <t>Informatiebeveiliging risico</t>
  </si>
  <si>
    <t>Cybersecurity belang</t>
  </si>
  <si>
    <t>Cybersecurity risico</t>
  </si>
  <si>
    <t>Functioneel beheer belang</t>
  </si>
  <si>
    <t>Functioneel beheer risico</t>
  </si>
  <si>
    <t>Informatiebeheer belang</t>
  </si>
  <si>
    <t>Informatiebeheer risico</t>
  </si>
  <si>
    <t>Woo belang</t>
  </si>
  <si>
    <t>Woo risico</t>
  </si>
  <si>
    <t>Bevriezing is het vastzetten van een informatieobject (en eventueel de bijbehorende metagegevens) zodat wijzigingen niet meer mogelijk zijn.</t>
  </si>
  <si>
    <t>1. Datasets blijven ongewijzigd tijdens analyse of omderzoek
2. Resultaten blijven reproduceerbaar en controleerbaar</t>
  </si>
  <si>
    <t>1. Persoonsgegevens blijven ongewijzigd gedurende onderzoek of procedure.
2. Betrouwbare beoordeling of onderzoek blijft mogelijk</t>
  </si>
  <si>
    <t>1. Persoonsgegevens worden gewijzigd of vernietigd tijdens onderzoek
2. Onderzoek of control kan niet betrwoubaar worden uitgevoerd</t>
  </si>
  <si>
    <t>1. Bescherming tegen ongeautoriseerde wijzigingen
2. Integrireit van informatieobjecten waarborgen</t>
  </si>
  <si>
    <t>1. Ongeautoriseerde wijzigingen in documenten of datasets
2. Manipulatie van informatie of bewijsstukken</t>
  </si>
  <si>
    <t>1. Veiligstellen van informatie na incident
2. Behoud loggegevens en relevantie data</t>
  </si>
  <si>
    <t>1. Logbestanden of data worden gewijzigd of verwijderd
2. Forensisch onderzoek onmogelijk</t>
  </si>
  <si>
    <t>1. Activeren en beheren van bevriezingsfunctionaliteit</t>
  </si>
  <si>
    <t>1. Freeze niet correct ingesteld
2. Gebruikers blijven wijzigen</t>
  </si>
  <si>
    <t>1. Integriteit dossiers
2. Bescherming tegen voortijdige vernietiging
3. Beschermingen tegen (onbedoelde) wijzigingen</t>
  </si>
  <si>
    <t>1. Dossiers of documenten achteraf gewijzigd. 
2. Informatie kan onbeodel worden vernietigd
3. Besluitvorming of processen kunnen niet betrouwbaar worden gereconstrueerd</t>
  </si>
  <si>
    <t>1. Informatie veiligstellen voor procedures
2. Aantoonbaar hebben dat verstrekte informatie overeenkomst met de informatie die ten grondslag lag aan de besluitvorming of het proces</t>
  </si>
  <si>
    <t>1. Dossier is onvolledig bij openbaarmaking (actie en passief) 
2. Authenticiteit van het dossier bij openbaarmaking is niet aantoonbaar</t>
  </si>
  <si>
    <t>1. Aantoonbare integriteit van informatie
2. Mogelijkheid tot reconstructie</t>
  </si>
  <si>
    <t>1. Organisatie kan geen verantwoording afleggen
2. Reconstructie niet mogelijk</t>
  </si>
  <si>
    <t>Het omzetten van informatieobjecten en bijbehorende metagegevens naar een ander formaat of een andere structuur, zodat deze bruikbaar blijven binnen een andere applicatie, omgeving of in de tijd.</t>
  </si>
  <si>
    <t>1. Dataconsistentie
2. Structuurbehoud</t>
  </si>
  <si>
    <t>1. Dataverlies
2. Onbruikbare datasets</t>
  </si>
  <si>
    <t>1. Correcte verwerking persoonsgegevens</t>
  </si>
  <si>
    <t>1. Persoonsgegevens verdwijnen of veranderen
2. Verkeerde gegevens worden gepubliceerd
3. Dataminimalisatie gaat verloren</t>
  </si>
  <si>
    <t>1. Integriteit tijdens omzetting
2. Behoud van beveiligingslabels en rubricering</t>
  </si>
  <si>
    <t>1. Manipulatie van bestanden
2. verlies van beveiligingslabels of rubricering</t>
  </si>
  <si>
    <t>1. Veilige conversietools
2. Bescherming tegen kwetsbaarheden in de software</t>
  </si>
  <si>
    <t>1. Malware via conversietools
2. Exploit van kwetsbare software</t>
  </si>
  <si>
    <t>1. correcte configuratie en uitvoering van de  conversieprocessen</t>
  </si>
  <si>
    <t>1. Conversieprocessen velkeerd ingericht
1. Incomplete of foutieve conversie</t>
  </si>
  <si>
    <t>1. Duurzame toegankelijkheid van informatie
2. Behoud van authenticiteit en context
3. Voorkomen (of beperken) van informatieverlies; documenten blijven leesbaar en vindbaar</t>
  </si>
  <si>
    <t>1. Metadata raakt verloren
2. Context van informatieobjecten verdwijnt
3. Archiefbescheiden verliezen betrouwbaarheid</t>
  </si>
  <si>
    <t>1. Documenten blijven correct reproduceerbaar en leesbaar</t>
  </si>
  <si>
    <t>1. Inhoud verandert of wordt onleesbaar
2. Juridische bewijswaarde vermindert; documenten niet meer betrouwbaar worden verstrekt</t>
  </si>
  <si>
    <t>1. aantoonbare integriteit</t>
  </si>
  <si>
    <t>1. Niet aantoonbaar dat informatie ongewijzigd is
2. Conversie leidt tot verlies of bruikbaarheid van informatie (incorrecte uitvoering)</t>
  </si>
  <si>
    <t>Het ophalen van bestaande informatieobjecten en metadata uit andere applicaties via koppelingen (API’s, services, exports), zodat deze opnieuw in beheer worden genomen.</t>
  </si>
  <si>
    <t>1. Dataconsistentie
2. Synchronisatie
3. Datakwaliteit</t>
  </si>
  <si>
    <t>1. Verouderde of niet-gesynchroniseerde data
2. Versieconflicten tussen systemen
3. Dubbele registraties</t>
  </si>
  <si>
    <t>1. Doelbinding bij hergebruik van gegevens
2. Controle grondslag voor verwerking
3. Beperking van hergebruik van persoonsgegevens</t>
  </si>
  <si>
    <t>1. Onrechtmatig gebruik van persoonsgegevens
2. Geen zicht op bron of doelbinding 
3. Verkeerde of ontbrekende bewaartermijnen</t>
  </si>
  <si>
    <t>1. Veilige API’s
2. Authenticatie
3. Autorisatie</t>
  </si>
  <si>
    <t xml:space="preserve">1. Onbevoegde koppelingen
2. Datadiefstal via koppelingen
</t>
  </si>
  <si>
    <t>1. Bescherming koppelingen
2. Monitoring API</t>
  </si>
  <si>
    <t xml:space="preserve">1. Misbruik API’s
</t>
  </si>
  <si>
    <t>1. Koppelingsbeheer
2. Afstemming van releases en wijzigingen</t>
  </si>
  <si>
    <t xml:space="preserve">1. Uitval bij updates koppelingen
2. Onopgemerkte breuken in intelgraties
</t>
  </si>
  <si>
    <t>1. Behoud van context bij de overname van informatie
2. Registratie van de herkomst van de bron
3. Vastleggen van de relaties tussen infromatieobjecten</t>
  </si>
  <si>
    <t>1. Verlies context van de bron
2. Onduidelijke status van informatieobjecten
3. Onjuiste selectie of bewaartermijnen</t>
  </si>
  <si>
    <t>1. Herleidbaarheid van informatie naar de bron
2. Bronverantwoording</t>
  </si>
  <si>
    <t>1. Niet uitlegbaar dossier
2. Informatiebron is niet aantoonbaar
3. Onvolledige stukken bij openbaarmaking</t>
  </si>
  <si>
    <t>1. Toezicht op ketensamenrwerkingen
2. Vastleggen van afspraken over gegevens uitwisselingen</t>
  </si>
  <si>
    <t>1. Ondoorzichtige keten
2. Onduidelijkheid eigenaarschap van informatie
3. Oncontroleerbaarheid informatie/gegevensstromen</t>
  </si>
  <si>
    <t>Het afschermen of onzichtbaar maken van delen van informatieobjecten of metagegevens zodat deze niet toegankelijk zijn voor bepaalde gebruikers of bij publicatie.</t>
  </si>
  <si>
    <t>1. Datasets kunnen veilig worden gedeeld
2. Gevoelige gegevens worden afgeschermd</t>
  </si>
  <si>
    <t>1. Datasets bevatten onbedoeld gevoelige informatie
2. Verkeerde gegevens worden openbaar gemaakt</t>
  </si>
  <si>
    <t>1. Bescherming van persoonsgegevens bij openbaarmaking</t>
  </si>
  <si>
    <t>1. Persoonsgegevens worden zichtbaar
2. Datalek door publicatie</t>
  </si>
  <si>
    <t>1. Bescherming van vertrouwelijke informatie</t>
  </si>
  <si>
    <t>1. Gevoelige informatie wordt openbaar
2. Vertrouwelijkheid wordt geschonden</t>
  </si>
  <si>
    <t>1. Voorkomen dat gevoelige informatie via publicatiesystemen uitlekt</t>
  </si>
  <si>
    <t>1. Verborgen gegevens blijven technisch toegankelijk
2. Metadata bevat nog gevoelige informatie</t>
  </si>
  <si>
    <t>1. Correcte configuratie van maskeringsfunctionaliteit</t>
  </si>
  <si>
    <t>1. Maskering wordt verkeerd toegepast
2. Delen van documenten blijven zichtbaar</t>
  </si>
  <si>
    <t>1. Behoud van het oorspronkelijke document
2. Juiste context bij openbaarmaking</t>
  </si>
  <si>
    <t>1. Gemaskeerde versie vervangt het origineel
2. Dossiercontext raakt verloren</t>
  </si>
  <si>
    <t>1. Juiste toepassing van uitzonderingsgronden</t>
  </si>
  <si>
    <t>1. Teveel informatie openbaar
2. Teveel weggelakt</t>
  </si>
  <si>
    <t>1. Transparante en controleerbare openbaarmaking</t>
  </si>
  <si>
    <t>1. Onjuiste of inconsistente toepassing van maskering
2. Reputatieschade door fouten bij publicatie</t>
  </si>
  <si>
    <t>Het vastleggen, beheren, verrijken en onderhouden van contextinformatie over informatieobjecten op basis van een metagegevensschema en classificatieschema, inclusief relaties en wijzigingen.</t>
  </si>
  <si>
    <t>1.Datadefinities
2.Consistente structuren
3.Herbruikbaarheid van gegevens</t>
  </si>
  <si>
    <t>1. Datasilo’s
2. Inconsistente datasets
3. Onbetrouwbare rapportages</t>
  </si>
  <si>
    <t xml:space="preserve">1. Identificatie persoonsgegevens
2. Doelbinding kunnen vaststellen
</t>
  </si>
  <si>
    <t>1. Onzichtbare persoonsgegevens
2. Onrechtmatige opslag
3. Onjuiste vernietiging</t>
  </si>
  <si>
    <t>1. Rubricering van informatie
2. Beveiligingsniveau bepalen</t>
  </si>
  <si>
    <t>1. Vertrouwelijke informatie onvoldoende beschermd
2. Overbeveiliging van niet-gevoelige informatie
3. Onnodige toegangsbeperkingen beperkingen</t>
  </si>
  <si>
    <t>1. Detectie gevoelige data
2. Monitoring van kritieke informatie</t>
  </si>
  <si>
    <t>1. Kroonjuwelen zijn niet herkenbaar
2. Verhoogde kans aanvallen</t>
  </si>
  <si>
    <t>1. Beheer van  metadata- en rubriceringsschema's
2. Onderhoud systeemkoppelingen</t>
  </si>
  <si>
    <t>1. Verouderde metadata- velden
2. Foutieve mappings tussen system
3. Incidenten gegvensuitwisseling</t>
  </si>
  <si>
    <t>1. Ordening van info
2. Toepassen selectie en waardering
3. Authenticiteit waarborgen</t>
  </si>
  <si>
    <t>1. Onjuiste bewaartermijnen
2. Verlies context
3. Archief onbruikbaar</t>
  </si>
  <si>
    <t>1. Vindbaarheid van informatie
2. Ondersteuning van dossiervorming
3. Toepassing uitzonderingengronden</t>
  </si>
  <si>
    <t>1. Onvolledige zoekresultaten
2. Onjuiste openbaarmaking
3. Bezwaar/beroep</t>
  </si>
  <si>
    <t>1. Aantoonbaarheid informatiehuishouding
2. Sturingsmogelijkheden</t>
  </si>
  <si>
    <t>1. Niet uitlegbaar beleid
2. Geen grip op informatiehuidhouding</t>
  </si>
  <si>
    <t>Bij creatie of ontvangst wordt een informatieobject toegevoegd aan een beheerde omgeving, zodat het onderdeel wordt van een bedrijfsproces (bijv. aanvraag in behandeling nemen, interne memo starten).</t>
  </si>
  <si>
    <t>1. Juiste datasetstructuur
2. Standaardisatie</t>
  </si>
  <si>
    <t>1. Onvergelijkbare data
2. Analyse onmogelijk
3. Vervuiling vanaf de bron</t>
  </si>
  <si>
    <t>1. Rechtmatige start verwerking
2. Dataminimalisatie
3. Doelbinding</t>
  </si>
  <si>
    <t>1. Onnodige persoonsgegevens opgenomen
2. Geen grondslag
3. Verwerking buiten register</t>
  </si>
  <si>
    <t>1. Direct juiste classificatie
2. Juiste beveiligingsniveau</t>
  </si>
  <si>
    <t>1. Vertrouwelijke info in open omgeving
2. Onbeveiligde opslag</t>
  </si>
  <si>
    <t>1. Veilige invoer
2. Bescherming tegen malware</t>
  </si>
  <si>
    <t>1. Geïnfecteerde bijlagen
2. Onveilige uploads</t>
  </si>
  <si>
    <t>1. Werkende intakeflows
2. Correcte proceskoppeling</t>
  </si>
  <si>
    <t>1. Informatie blijft “zweven”
2. Proces niet gestart
3. Status onduidelijk</t>
  </si>
  <si>
    <t>1. Dossiervorming vanaf start
2.Context vastleggen</t>
  </si>
  <si>
    <t>1. Geen dossierrelatie
2. Losse bestanden
3. Onvolledige reconstructie</t>
  </si>
  <si>
    <t>1. Volledig dossier
2. Herleidbaarheid</t>
  </si>
  <si>
    <t>1. Ontbrekende stukken
2. Onverdedigbaar besluit</t>
  </si>
  <si>
    <t>1. Aantoonbare start van proces
2. Traceerbaarheid</t>
  </si>
  <si>
    <t>1. Geen audittrail
2. Niet uitlegbaar besluitvormingsproces</t>
  </si>
  <si>
    <t>Het duurzaam opslaan en bewaren van informatieobjecten en bijbehorende metagegevens in een beheerde omgeving, zodat deze beschikbaar, betrouwbaar en beschermd blijven gedurende de gehele levenscyclus.</t>
  </si>
  <si>
    <t>1. Consistente dataopslag
2. Versiebeheer</t>
  </si>
  <si>
    <t>1. Dubbele datasets
2. Versieconflicten
3. Verkeerde analyses</t>
  </si>
  <si>
    <t>1. Veilige opslag persoonsgegevens
2. Juiste bewaartermijnen</t>
  </si>
  <si>
    <t>1. Onbeveiligde opslag
2. Ongeautoriseerde toegang
3. Te lang bewaren</t>
  </si>
  <si>
    <t>1. Encryptie
2. Toegangscontrole
3. Fysieke beveiliging</t>
  </si>
  <si>
    <t>1. Datalekken
2. Ongeautoriseerde kopieën
3. Verlies van vertrouwelijkheid</t>
  </si>
  <si>
    <t>1. Bescherming tegen ransomware
2. Detectie manipulatie</t>
  </si>
  <si>
    <t>1. Massale dataversleuteling
2. Data-exfiltratie
3. Sabotage van opslag</t>
  </si>
  <si>
    <t>1. Beheer opslagstructuren
2. Performance</t>
  </si>
  <si>
    <t>1. Opslaglimieten bereikt
2. Foutieve configuratie
3. Incidenten</t>
  </si>
  <si>
    <t>1. Duurzame toegankelijkheid
2. Juiste bestandsformaten</t>
  </si>
  <si>
    <t>1. Bestanden onleesbaar
2. Formaten verouderd
3. Informatieverlies</t>
  </si>
  <si>
    <t>1. Beschikbaarheid dossier
2.Integriteit documenten</t>
  </si>
  <si>
    <t>1. Ontbrekende stukken
2. onvolledige reconstructie</t>
  </si>
  <si>
    <t>1. Aantoonbare opslagcontrole
2. Auditability</t>
  </si>
  <si>
    <t>1. Oncontroleerbare opslag
2. Compliance-problemen</t>
  </si>
  <si>
    <t>Het beschikbaar stellen van informatieobjecten en metagegevens aan externe gebruikers of het publiek via publicatiekanalen zoals websites, portalen of open data-platforms.</t>
  </si>
  <si>
    <t>1. Datasets worden correct gepubliceerd
2. Herbruikbaarheid van informatie</t>
  </si>
  <si>
    <t>1. Datasets bevatten fouten
2. Verkeerde gegevens worden gedeeld</t>
  </si>
  <si>
    <t>1. Persoonsgegevens worden niet onterecht gepubliceerd</t>
  </si>
  <si>
    <t>1. Persoonsgegevens worden openbaar
2. Datalek door publicatie</t>
  </si>
  <si>
    <t>1. Be-(en af)scherming van vertrouwelijke informatie</t>
  </si>
  <si>
    <t>1. Gevoelige informatie wordt (onbedoeld) openbaar</t>
  </si>
  <si>
    <t>1. Veilige publicatieplatforms</t>
  </si>
  <si>
    <t>1. Manipulatie van gepubliceerde informatie
2. Kwetsbaarheden in publicatiesystemen</t>
  </si>
  <si>
    <t>1. Beheer van publicatieplatforms</t>
  </si>
  <si>
    <t>1. Verkeerde versie wordt gepubliceerd</t>
  </si>
  <si>
    <t>1. Behoud van het originele informatieobject
2. Correcte koppeling tussen interne en gepubliceerde versie</t>
  </si>
  <si>
    <t>1. Gepubliceerde versie vervangt origineel
2. Context van documenten raakt verloren</t>
  </si>
  <si>
    <t>1. Naleving van openbaarmakingsverplichtingen</t>
  </si>
  <si>
    <t>1. Informatie wordt onvolledig gepubliceerd
2. Erw wordt teveel openbaar gemaakt</t>
  </si>
  <si>
    <t>1. Reputatieschade door onjuiste publicatie
2. Organisatie kan publicatie niet verantwoorden</t>
  </si>
  <si>
    <t>Het beschikbaar maken van informatieobjecten en hun metagegevens in een vorm waarin de inhoud correct kan worden weergegeven en begrepen door gebruikers.</t>
  </si>
  <si>
    <t>1. Datasets worden correct geïnterpreteerd</t>
  </si>
  <si>
    <t>1. Verkeerde interpretatie van data
2. Foutieve analyses</t>
  </si>
  <si>
    <t>1. Correcte weergave van persoonsgegevens</t>
  </si>
  <si>
    <t>1. Persoonsgegevens worden verkeerd geïnterpreteerd of weergegeven</t>
  </si>
  <si>
    <t>1. Voorkomen dat representatie gevoelige informatie blootlegt</t>
  </si>
  <si>
    <t>1. Verborgen informatie wordt zichtbaar</t>
  </si>
  <si>
    <t>1. Veilige viewers en software</t>
  </si>
  <si>
    <t>1. Kwetsbaarheden in viewers
2. Manipulatie van weergave</t>
  </si>
  <si>
    <t>1. Juiste configuratie van systemen en viewers</t>
  </si>
  <si>
    <t>1. Bestanden kunnen niet worden geopend</t>
  </si>
  <si>
    <t>1. Duurzame toegankelijkheid van informatie</t>
  </si>
  <si>
    <t>1. Bestanden worden onleesbaar
2. Informatie kan niet meer worden geïnterpreteerd</t>
  </si>
  <si>
    <t>1. Informatie wordt correct en begrijpelijk gepresenteerd</t>
  </si>
  <si>
    <t>2. Documenten worden verkeerd geïnterpreteerd</t>
  </si>
  <si>
    <t>1. Betrouwbare informatie voor verantwoording</t>
  </si>
  <si>
    <t>1. Verkeerde interpretatie van documenten of datasets</t>
  </si>
  <si>
    <t>Het inrichten, beheren en controleren van wie welke informatie mag inzien, wijzigen, delen en verwijderen, gedurende de hele levenscyclus.</t>
  </si>
  <si>
    <t>1. Alleen bevoegden mogen data aanpassen
2. Datakwaliteit bewaken</t>
  </si>
  <si>
    <t>1. Ongeautoriseerde wijzigingen
2. Vervuilde datasets</t>
  </si>
  <si>
    <t xml:space="preserve">1. Alleen gerechtvaardigde toegang tot persoonsgegevens
2. Logging </t>
  </si>
  <si>
    <t>1. Onrechtmatige inzage
2. Datalekken
3. Boetes</t>
  </si>
  <si>
    <t>1. Minimale rechten
2. Functiescheiding</t>
  </si>
  <si>
    <t>1. Accountbeveiliging
2. Identity &amp; Access Management</t>
  </si>
  <si>
    <t xml:space="preserve">1. Gehackte accounts
</t>
  </si>
  <si>
    <t>1. Rolbeheer
2. Gebruikerssupport
3. Lifecycle management</t>
  </si>
  <si>
    <t xml:space="preserve">1. Ex-medewerkers met toegang
2. Trage uitdiensttreding
3. Ingewikkelde autorisatiestructuur </t>
  </si>
  <si>
    <t>1. Bescherming van dossiers
2. Vertrouwelijkheid
3. Contextbewaking</t>
  </si>
  <si>
    <t>1. Ongeautoriseerde inzage
2. Dossiers ‘opengebroken’</t>
  </si>
  <si>
    <t>1. Aantoonbare beheersing
2. Audits</t>
  </si>
  <si>
    <t>1. Geen logging
2. Geen toezicht
3. Afkeuring audits</t>
  </si>
  <si>
    <t>Het delen, overdragen of beschikbaar stellen van informatieobjecten en bijbehorende metagegevens tussen systemen, applicaties, organisaties of ketenpartners.</t>
  </si>
  <si>
    <t>1. Consistente gegevensuitwisseling
2. Standaardisatie</t>
  </si>
  <si>
    <t>1. Dataconflicten
2. Inconsistentie tussen systemen
3. Verkeerde beleidsinformatie</t>
  </si>
  <si>
    <t>1. Rechtmatige gegevensdeling
2. Dataminimalisatie</t>
  </si>
  <si>
    <t>1. Persoonsgegevens onterecht gedeeld
2. Te brede datasets gedeeld
3. Geen duidelijke verwerkingsgrondslag</t>
  </si>
  <si>
    <t>1. Beveiligde overdracht
2. Versleuteling</t>
  </si>
  <si>
    <t>1. Onderschepping van gegevens
2. Datalekken</t>
  </si>
  <si>
    <t>1. Beveiligde API’s
2. Monitoring van dataverkeer</t>
  </si>
  <si>
    <t>1. Misbruik van koppelingen
2. Data-exfiltratie</t>
  </si>
  <si>
    <t>1. Beheer van koppelingen
2. Monitoring</t>
  </si>
  <si>
    <t>1. Koppelingen breken bij updates
2. Gegevensstromen vallen stil</t>
  </si>
  <si>
    <t>1. Behoud van context
2. juiste registratie van ontvangen informatie</t>
  </si>
  <si>
    <t>1. Informatie wordt gedeeld zonder context
2. Onduidelijkheid over bron of status</t>
  </si>
  <si>
    <t>1. Transparantie over gegevensstromen
2. Herleidbaarheid</t>
  </si>
  <si>
    <t>1. Informatie niet meer te herleiden
2. Onduidelijkheid over verantwoordelijkheid</t>
  </si>
  <si>
    <t>1. Afspraken over gegevensdeling
2. Toezicht op ketens</t>
  </si>
  <si>
    <t>1. Onduidelijke eigenaarschap
2. Gebrek aan controle</t>
  </si>
  <si>
    <t>Het controleren van informatieobjecten en bijbehorende metadata op volledigheid, juistheid en integriteit, zodat de betrouwbaarheid kan worden vastgesteld.
Bijv. checksums, loganalyse, integriteitscontrole.</t>
  </si>
  <si>
    <t>1. Datakwaliteit
2. Betrouwbare datasets</t>
  </si>
  <si>
    <t>1. Onjuiste analyses
2. Verkeerde beleidsinformatie
3. Besluiten op foutieve data</t>
  </si>
  <si>
    <t>1. Juistheid persoonsgegevens (art. 5 AVG)
2. Correcte verwerking</t>
  </si>
  <si>
    <t>1. Onjuiste persoonsgegevens blijven circuleren
2. Foute besluiten over betrokkenen
3. 
Inzageverzoeken onbetrouwbaar</t>
  </si>
  <si>
    <t>1. Integriteit
2. Detectie ongeautoriseerde wijziging</t>
  </si>
  <si>
    <t>1. Manipulatie blijft onopgemerkt
2. Interne fraude
3. Onbetrouwbare dossiers</t>
  </si>
  <si>
    <t>1. Detectie van compromise
2. Controle op ongewenste mutaties</t>
  </si>
  <si>
    <t>1. Ransomware verandert data
2. Onzichtbare wijzigingen
3. Geen forensische zekerheid</t>
  </si>
  <si>
    <t>1. Correct werkende controles
2. Logging</t>
  </si>
  <si>
    <t>1. Validaties niet actief
2. Onopgemerkte fouten
3. Incidenten te laat ontdekt</t>
  </si>
  <si>
    <t>1. Authentieke archiefbescheiden
2. Ongewijzigde dossiers</t>
  </si>
  <si>
    <t>1. Bewijswaarde vervalt
2. Archief niet betrouwbaar
3. Onmogelijke reconstructie</t>
  </si>
  <si>
    <t>1. Integriteit dossier
2. Bewijskracht</t>
  </si>
  <si>
    <t>1. Dossier wordt betwist
2. Geen aantoonbare authenticiteit
3. Juridisch verlies</t>
  </si>
  <si>
    <t>1. Aantoonbare beheersing
2. Auditability</t>
  </si>
  <si>
    <t>1. Geen controleerbare integriteit
2. Afkeurende audits
3. Vertrouwenverlies</t>
  </si>
  <si>
    <t>Het kunnen aantonen hoe informatieobjecten zijn ontstaan, verwerkt, gewijzigd, geraadpleegd of vernietigd, inclusief de context waarin dat is gebeurd.</t>
  </si>
  <si>
    <t>1. Herleidbaarheid van datasets
2. Versiebeheer</t>
  </si>
  <si>
    <t>1. Onduidelijk welke dataset is gebruikt
2. Onbetrouwbare analyses</t>
  </si>
  <si>
    <t>1. Accountability
2. Kunnen aantonen hoe persoonsgegevens zijn verwerkt</t>
  </si>
  <si>
    <t>1. Rechtmatigheid van verwerking niet aantoonbaar
2. Problemen bij datalekonderzoek</t>
  </si>
  <si>
    <t>1. Logging van toegang en wijzigingen</t>
  </si>
  <si>
    <t>1. Ongeautoriseerde acties niet detecteerbaar
1. Incidenten niet te reconstrueren</t>
  </si>
  <si>
    <t>1. Detectie van aanvallen
2. Forensisch onderzoek</t>
  </si>
  <si>
    <t>1. Geen zicht op datalekken
2. Aanvallen niet te analyseren
3. Incidenten onopgemerkt</t>
  </si>
  <si>
    <t>1. Beheer van logbestanden
2. Monitoring</t>
  </si>
  <si>
    <t>1. Logs worden niet opgeslagen
2. Incidenten onopgemerkt</t>
  </si>
  <si>
    <t>1. Reconstructie van dossiers
2. Aantonen besluitvorming</t>
  </si>
  <si>
    <t>1. Besluitvorming niet meer te herleiden
2. Onvolledige archieven</t>
  </si>
  <si>
    <t>1. Inzicht in totstandkoming besluiten
2. Verantwoording richting burgers</t>
  </si>
  <si>
    <t>1. Besluitvorming niet uitlegbaar
2. Bezwaar of beroep</t>
  </si>
  <si>
    <t>1. Toezicht
2. Interne controle</t>
  </si>
  <si>
    <t>1. Gebrek aan controleerbaarheid
2. Afkeurende audits</t>
  </si>
  <si>
    <t>Het gecontroleerd en aantoonbaar verwijderen van informatieobjecten en bijbehorende metagegevens wanneer de bewaartermijn is verstreken of wanneer vernietiging op grond van wet- of regelgeving is toegestaan.</t>
  </si>
  <si>
    <t>1. Datasets blijven beheersbaar
2. Verwijderen van verouderde of irrelevante data</t>
  </si>
  <si>
    <t>1. datasets blijven groeien
2. Hervuilde of verouderde data beïnvloeden analyses</t>
  </si>
  <si>
    <t>1. Persoonsgegevens worden niet langer bewaard dan noodzakelijk</t>
  </si>
  <si>
    <t>1. Persoonsgegevens blijven bestaan terwijl ze vernietigd hadden moeten worden
2. Organisatie voldoet niet aan opslagbeperking uit AVG</t>
  </si>
  <si>
    <t>1. Verwijderen van gevoelige informatie die niet langer nodig is</t>
  </si>
  <si>
    <t>1. Oude bestanden blijven beschikbaar
2. Vertrouwelijke informatie blijft circuleren</t>
  </si>
  <si>
    <t>1. Verkleinen van het aanvalsoppervlak door het verwijderen van oude data</t>
  </si>
  <si>
    <t>1. Oude datasets worden doelwit van datadiefstal
2. Vergeten opslaglocaties bevatten gevoelige informatie</t>
  </si>
  <si>
    <t>1. Uitvoeren en monitoren van vernietigingsprocessen</t>
  </si>
  <si>
    <t>1. Vernietiging wordt niet uitgevoerd
2. Processen verlopen handmatig en foutgevoelig</t>
  </si>
  <si>
    <t>1. Naleving van bewaartermijnen uit selectielijsten
2. Beheersbare en rechtmatige informatiehuishouding</t>
  </si>
  <si>
    <t>1. Informatie blijft bestaan terwijl ze vernietigd had moeten worden
2. Organisatie kan vernietiging niet verantwoorden</t>
  </si>
  <si>
    <t>1. Correcte toepassing van bewaartermijnen</t>
  </si>
  <si>
    <t>1. Informatie wordt te vroeg vernietigd
2. Dossiers raken onvolledig
3. Informatie bestaat langer dan wettelijk is toegestaan</t>
  </si>
  <si>
    <t>1. Aantoonbare uitvoering van vernietiging
2. Beheersbare informatiehuishouding en opslag
3. Voorkomen onnodige kosten voor opslag bij uitblijven vernietiging</t>
  </si>
  <si>
    <t>1. Organisatie kan niet aantonen wat is vernietigd en wanneer
2. Oplopende kosten voor opslag, systemen, cloud, netwerkschijven back-ups, plank, door uitlbijvende vernietiging</t>
  </si>
  <si>
    <t>Het kunnen terugvinden van informatieobjecten en bijbehorende metagegevens op basis van zoekfunctionaliteit, filters, classificaties of relaties, zodat informatie beschikbaar is voor gebruik, besluitvorming, verantwoording of openbaarmaking.</t>
  </si>
  <si>
    <t>1. Vindbaarheid datasets
2. Hergebruik data</t>
  </si>
  <si>
    <t>1. Data bestaat maar wordt niet gevonden
2. Duplicatie van datasets
3. Inefficiënt gebruik van informatie</t>
  </si>
  <si>
    <t>1. Persoonsgegevens kunnen lokaliseren
2. Inzage- en verwijderverzoeken uitvoeren</t>
  </si>
  <si>
    <t>1. Persoonsgegevens niet vindbaar
2. Inzageverzoek niet volledig
3. Vernietiging niet uitvoerbaar</t>
  </si>
  <si>
    <t>1.Zoeken binnen juiste autorisaties</t>
  </si>
  <si>
    <t>1. Informatie zichtbaar buiten bevoegdheid
2. Vertrouwelijke documenten uitlekbaar</t>
  </si>
  <si>
    <t>1. Monitoring toegang tot gevoelige informatie</t>
  </si>
  <si>
    <t>1. Massale data-extractie
2. Scraping van gevoelige informatie</t>
  </si>
  <si>
    <t>1. Configuratie zoekfunctionaliteit
2. Onderhoud indexen</t>
  </si>
  <si>
    <t>1. Zoekresultaten incompleet
2. Performanceproblemen</t>
  </si>
  <si>
    <t>1. Vindbaarheid dossiers
1. Reconstructie besluitvorming</t>
  </si>
  <si>
    <t>1. Informatie bestaat maar wordt niet gevonden
2. Dossier onvolledig</t>
  </si>
  <si>
    <t>1. Documenten kunnen lokaliseren
2. Volledige zoekslag uitvoeren</t>
  </si>
  <si>
    <t>1. Woo-verzoeken onvolledig afgehandeld
2. Bezwaar/beroep</t>
  </si>
  <si>
    <t>1. verantwoording
2. auditability</t>
  </si>
  <si>
    <t>1. niet kunnen aantonen hoe besluit tot stand kwam</t>
  </si>
  <si>
    <t>Registratie</t>
  </si>
  <si>
    <t>R13, B07, B08, RVW06</t>
  </si>
  <si>
    <t>DUTO score</t>
  </si>
  <si>
    <t>tot 25%</t>
  </si>
  <si>
    <t>25 tot 50 %</t>
  </si>
  <si>
    <t>50 tot 75%</t>
  </si>
  <si>
    <t>Boven 75%</t>
  </si>
  <si>
    <t>1. Te brede rechten
2. Misbruik
3. Interne incidenten
4. Verkeerde rubricering</t>
  </si>
  <si>
    <t>Toelichting</t>
  </si>
  <si>
    <t>Zeer beperkt aanwezig. Alleen intentie, losse verwijzingen of aannames. Niet aantoonbaar ingericht.</t>
  </si>
  <si>
    <t>Gedeeltelijk beschreven of deels ingericht. Onderbouwing beperkt, inconsistent of nog in ontwikkeling.</t>
  </si>
  <si>
    <t>Binnen een organisatie wordt dezelfde applicatie gebruikt door meerdere organisatieonderdelen voor vergelijkbare processen. Hoewel de processtructuur uniform is ingericht, kunnen onderdelen verschillende informatiebehoeften hebben.
De vraag is dan:
- Is vastgelegd wie verantwoordelijk is voor de informatie die in deze applicatie wordt beheerd?
- Is duidelijk wie eigenaar is van informatiekwaliteit en inrichting?
- Wie beslist over wijzigingen in metadata, classificaties of dossierstructuur?
- Is er één proceseigenaar of informatie-eigenaar met mandaat?
- Of zijn verantwoordelijkheden verdeeld over meerdere organisatieonderdelen?
Wanneer eigenaarschap niet expliciet is vastgelegd, ontstaan risico’s zoals:
- onduidelijke besluitvorming
- versnipperde inrichting
- inconsistente metadata
- verschillen in lifecyclebeheer
- gebrek aan aanspreekbaarheid bij kwaliteitsproblemen
Deze vraag richt zich daarom niet op technisch applicatiebeheer, maar op expliciete organisatorische verantwoordelijkheid voor de informatie die binnen de applicatie wordt beheerd.</t>
  </si>
  <si>
    <t>Binnen een organisatie kan informatiebeheer door verschillende partijen worden uitgevoerd, zoals (de)centrale ihh. Het moet expliciet duidelijk zijn waar taken, rollen en verantwoordelijkheden zijn belegd, zodat informatiebeheer volledig en consistent wordt uitgevoerd.
De vraag is dan:
- Zijn rollen en verantwoordelijkheden voor informatiebeheer expliciet vastgelegd?
- Is duidelijk welke taken centraal worden uitgevoerd en welke decentraal?
- Is vastgelegd wie verantwoordelijk is voor lifecyclebeheer binnen deze applicatie?
- Is helder wie besluiten neemt over metadata, bewaartermijnen en vernietiging?
- Zijn verantwoordelijkheden actueel en passend bij de toekomstige inrichting?
Wanneer rollen en verantwoordelijkheden niet expliciet zijn vastgelegd, ontstaan risico’s zoals:
- taken die tussen partijen blijven liggen
- overlap of hiaten in verantwoordelijkheden
- verschillen in uitvoering tussen organisatieonderdelen
- onduidelijkheid over besluitvorming
- beperkte borging van kwaliteit en lifecyclebeheer.
Deze vraag richt zich daarom niet alleen op het bestaan van governance-documentatie, maar op de expliciete en actuele verdeling van verantwoordelijkheden binnen de informatieketen.</t>
  </si>
  <si>
    <t>Binnen een applicatie wordt informatie uitgewisseld met leveranciers of ketenpartners, bijvoorbeeld voor opslag, koppelingen, metadata-uitwisseling of archivering. Omdat meerdere partijen betrokken zijn bij beheer en verwerking, moet duidelijk zijn welke afspraken gelden en wie waarvoor verantwoordelijk is.
De vraag is dan:
- Zijn beheerafspraken met leveranciers of ketenpartners expliciet vastgelegd?
- Is duidelijk wie verantwoordelijk is voor beschikbaarheid, kwaliteit en continuïteit?
- Zijn afspraken gemaakt over incidenten, wijzigingen en escalatie?
- Is vastgelegd wie controleert of informatie correct wordt uitgewisseld?
- Zijn lifecycle-afspraken opgenomen, zoals bewaartermijnen, vernietiging en export?
Wanneer beheerafspraken ontbreken of niet expliciet zijn vastgelegd, ontstaan risico’s zoals:
- onduidelijke verantwoordelijkheden
- verlies van informatie of metadata
- beperkte controle op ketenkwaliteit
- afhankelijkheid van leveranciers
- onduidelijkheid bij incidenten of dataverlies
Deze vraag richt zich daarom niet alleen op contractuele afspraken, maar op expliciete vastlegging van rollen, verantwoordelijkheden en beheersafspraken binnen de informatieketen.</t>
  </si>
  <si>
    <t>De applicatie wordt vervangen, uitgefaseerd of de dienstverlening van een leverancier stopt. In de applicatie bevinden zich dossiers, metadata, logging, koppelingen en informatieobjecten die gedurende meerdere jaren zijn opgebouwd.
De vraag is dan:
- Hoe wordt informatie uit de applicatie veilig overgedragen?
- Welke gegevens moeten worden gemigreerd, vernietigd of bewaard?
- Blijven metadata, relaties en context behouden?
- Is duidelijk in welk formaat export plaatsvindt?
- Wie is verantwoordelijk voor migratie en kwaliteitscontrole?
- Zijn afspraken gemaakt over toegang tot gegevens na beëindiging van contracten?
- Is vastgelegd hoe afhankelijkheden van leveranciers worden afgebouwd?
Wanneer geen exitstrategie bestaat, ontstaat risico op:
- verlies van informatie of context
- afhankelijkheid van leverancier of platform
- onvolledige migratie
- verlies van metadata of logging
- onduidelijkheid over verantwoordelijkheden bij uitfasering
Een exitstrategie maakt inzichtelijk hoe informatie duurzaam toegankelijk blijft, ook wanneer de applicatie of leverancier verdwijnt.</t>
  </si>
  <si>
    <t>Binnen een organisatie worden informatieobjecten niet altijd handmatig toegevoegd aan een applicatie. Documenten, metadata of dossiers kunnen ook automatisch ontstaan via koppelingen met andere systemen, bijvoorbeeld vanuit zaaksystemen, e-mail, formulieren, sensordata of ketenapplicaties.
De vraag is dan:
- Kunnen informatieobjecten automatisch worden geregistreerd?
- Worden metadata automatisch meegeleverd?
- Is duidelijk welke systemen bronhouder zijn?
- Wordt dubbele registratie voorkomen?
- Is herleidbaar via welke koppeling informatie is binnengekomen?
- Worden fouten of mislukte registraties gelogd?
- Is duidelijk wie verantwoordelijk is voor de kwaliteit van automatisch aangeleverde informatie?
Wanneer automatische registratie of koppelingen niet goed zijn ingericht, ontstaan risico’s zoals:
- ontbrekende of onvolledige metadata
- dubbele registraties
- verlies van context
- niet-geregistreerde informatieobjecten
- afhankelijkheid van bronapplicaties zonder controle op volledigheid.
Deze vraag richt zich daarmee niet alleen op technische koppelingen, maar ook op de borging van volledigheid, herleidbaarheid en kwaliteit van automatisch geregistreerde informatie.</t>
  </si>
  <si>
    <t>Binnen een applicatie worden meerdere informatieobjecten geregistreerd, zoals documenten, dossiers, e-mails, bijlagen of automatisch ingelezen bestanden.
De vraag is dan:
- Krijgt ieder informatieobject een unieke identifier?
- Blijft deze identifier gedurende de volledige lifecycle gelijk?
- Is het object hiermee eenduidig terug te vinden?
- Kunnen verschillende versies of kopieën van elkaar worden onderscheiden?
- Blijft de identifier behouden bij migratie of export?
- Is herleidbaar uit welk systeem of proces het object afkomstig is?
Wanneer unieke identificatie ontbreekt, ontstaan risico’s zoals:
- dubbele of onjuiste registraties;
- verwarring tussen versies of dossiers;
- verlies van herleidbaarheid;
- problemen bij migratie of koppelingen;
- beperkte controle op volledigheid en betrouwbaarheid.
Een unieke identifier is daarmee essentieel om informatieobjecten gedurende hun hele levenscyclus consistent, herleidbaar en beheersbaar te houden.</t>
  </si>
  <si>
    <t>Binnen een applicatie worden informatieobjecten geregistreerd door verschillende gebruikers, processen of koppelingen. Zonder duidelijke afspraken kan per onderdeel verschillend worden omgegaan met metadata.
De vraag is dan:
- Is vastgelegd welke metadata verplicht zijn?
- Zijn verplichte velden afhankelijk van proces, documenttype of informatiecategorie?
- Is duidelijk welke metadata minimaal nodig zijn voor vindbaarheid, context en beheer?
- Worden verplichte metadata technisch afgedwongen?
- Is vastgelegd wie verantwoordelijk is voor het beheer van metadata-afspraken?
- Zijn metadata-eisen consistent tussen verschillende organisatieonderdelen of ketens?
Wanneer verplichte metadata niet expliciet zijn vastgelegd, ontstaan risico’s zoals:
- onvolledige registratie
- beperkte vindbaarheid
- verlies van context
- inconsistente classificatie
- problemen bij vernietiging, overbrenging of openbaarmaking
Deze vraag gaat daarom niet alleen over het bestaan van metadata, maar over de expliciete borging van minimale metadata-eisen voor betrouwbaar informatiebeheer.</t>
  </si>
  <si>
    <t>Binnen een applicatie worden informatieobjecten opgeslagen, zoals documenten, dossiers, zaken, bijlagen of registraties. Zonder duidelijke structuur kan informatie versnipperd raken of moeilijk terugvindbaar zijn.
De vraag is dan:
- Is vastgelegd hoe informatieobjecten logisch worden gegroepeerd?
- Worden documenten gekoppeld aan een dossier, zaak of context?
- Is duidelijk welke informatie bij elkaar hoort?
- Is de structuur gebaseerd op processen, zaaktypen, onderwerpen of classificaties?
- Kunnen relaties tussen informatieobjecten worden vastgelegd?
- Blijft de samenhang behouden bij migratie of export?
- Is voor gebruikers duidelijk waar informatie moet worden opgeslagen?
Wanneer een logische structuur ontbreekt, ontstaan risico’s zoals:
- losse documenten zonder context
- versnipperde dossiervorming
- beperkte vindbaarheid
- onduidelijkheid over samenhang tussen informatieobjecten
- problemen bij vernietiging, overbrenging of reconstructie
Deze vraag richt zich daarmee op de mate waarin informatieobjecten niet alleen worden opgeslagen, maar ook in een begrijpelijke en duurzame context worden georganiseerd.</t>
  </si>
  <si>
    <t>Is inzichtelijk hoe de applicatie bewaartermijnen toekent op basis van de juiste selectielijst, inclusief beheer van historische selectieregimes en wijzigingen in regelgeving?</t>
  </si>
  <si>
    <t>In een applicatie worden zowel nieuwe als historische dossiers beheerd. Een deel van de informatie is gevormd voor de invoering van een nieuwe selectielijst, terwijl nieuwe zaken volgens een ander beheerregime worden bewaard. 
De vraag is dan:
- Hoe bepaalt het systeem welke selectielijst van toepassing is?
- Wordt onderscheid gemaakt tussen informatie die onder verschillende regimes valt?
- Hoe worden bewaartermijnen gekoppeld aan dossiers die al bestonden vóór invoering van een nieuwe selectielijst?
- Blijft de oorspronkelijke selectiecategorie behouden wanneer dossiers worden gemigreerd of gewijzigd?
- Hoe wordt voorkomen dat bestaande informatieobjecten automatisch onder een nieuwe selectielijst vallen?
- Is inzichtelijk welke selectielijst of BSD op een specifiek informatieobject is toegepast?
- Kan achteraf worden gecontroleerd waarom een bepaalde bewaartermijn is toegekend?
Wanneer deze overgang niet expliciet is ingericht, ontstaan risico’s zoals:
- onjuiste bewaartermijnen
- verlies van juridische grondslag
- inconsistente vernietiging
- onduidelijkheid over welke selectielijst daadwerkelijk geldt
- beperkte aantoonbaarheid richting toezicht of archivering
Deze vraag richt zich daarom niet alleen op het bestaan van een actuele selectielijst, maar op de wijze waarop meerdere selectieregimes binnen één systeem naast elkaar beheerd en aantoonbaar toegepast worden.</t>
  </si>
  <si>
    <t>Binnen een applicatie worden informatieobjecten gedurende hun levenscyclus gewijzigd, aangevuld of verwerkt. Op bepaalde momenten moet informatie echter worden “bevroren”, zodat inhoud en metadata niet meer aangepast kunnen worden.
De vraag is dan:
Kunnen informatieobjecten worden gefixeerd of onveranderlijk gemaakt?
Op welk moment gebeurt dit (bij afsluiting, besluitvorming, archivering)?
Geldt fixatie voor zowel inhoud als metadata?
Is zichtbaar dat een object gefixeerd is?
Kunnen wijzigingen nog plaatsvinden na fixatie?
Worden wijzigingen gelogd of geblokkeerd?
Is vastgelegd wie bevoegd is om fixatie toe te passen of op te heffen?
Praktijkvoorbeeld
Een dossier wordt afgesloten nadat een besluit formeel is vastgesteld. Vanaf dat moment moet de inhoud aantoonbaar gelijk blijven, zodat later kan worden bewezen welke informatie ten grondslag lag aan het besluit.
Wanneer fixatie ontbreekt of onvoldoende is ingericht, ontstaan risico’s zoals:
- wijzigingen achteraf zonder controle
- verlies van bewijswaarde
- onduidelijkheid over definitieve versies
- aantasting van authenticiteit en betrouwbaarheid
- beperkte juridische of audittrail-waarde
Deze vraag richt zich daarmee op de mate waarin informatieobjecten na een bepaald moment aantoonbaar onveranderlijk kunnen worden vastgelegd.</t>
  </si>
  <si>
    <t>Binnen een applicatie worden bestanden opgeslagen, gemigreerd, uitgewisseld of geraadpleegd. Tijdens deze lifecycle kunnen bestanden ongemerkt beschadigd raken, wijzigen of incompleet worden overgedragen.
De vraag is dan:
- Wordt de integriteit van bestanden gecontroleerd?
- Worden checksums of hashes gegenereerd bij opslag of opname?
- Wordt periodiek gecontroleerd of bestanden nog ongewijzigd zijn?
- Is zichtbaar wanneer een integriteitscontrole heeft plaatsgevonden?
- Wordt een afwijking automatisch gesignaleerd?
- Hoe wordt omgegaan met beschadigde of gewijzigde bestanden?
- Blijft integriteitsinformatie behouden bij migratie of export?
Wanneer integriteitscontrole ontbreekt of onvoldoende is ingericht, ontstaan risico’s zoals:
- ongemerkte beschadiging van bestanden
- verlies van betrouwbaarheid van informatieobjecten
- onopgemerkte wijzigingen tijdens opslag, migratie of overdracht
- onvolledige of corrupte bestanden
- onzekerheid of een bestand nog overeenkomt met het origineel
- beperkte aantoonbaarheid bij audits of bewijsvoering
- verlies van controle op duurzame toegankelijkheid
Deze vraag richt zich daarmee op de mate waarin kan worden vastgesteld dat bestanden gedurende hun lifecycle ongewijzigd, volledig en betrouwbaar blijven.</t>
  </si>
  <si>
    <t>Binnen een applicatie worden informatieobjecten opgeslagen samen met metadata, zoals titel, datum, procestype, bewaartermijn, classificatie of relatie met een dossier.
Tijdens de lifecycle kunnen informatieobjecten worden verplaatst, geëxporteerd, gemigreerd of uitgewisseld met andere systemen.
De vraag is dan:
- Blijven metadata gekoppeld aan het informatieobject?
- Gaan metadata mee bij export, migratie of koppelingen?
- Blijft de relatie tussen bestand en metadata behouden?
- Kunnen metadata los raken van het object?
- Worden wijzigingen in metadata gelogd?
- Is zichtbaar welke metadata bij welk object horen?
- Blijven relaties tussen objecten, dossiers en metadata intact?
Wanneer metadata los raken van informatieobjecten, ontstaan risico’s zoals:
- verlies van context
- verminderde vindbaarheid
- onjuiste bewaartermijnen
- verlies van dossierrelaties
- beperkte aantoonbaarheid van herkomst en lifecycle
Deze vraag richt zich daarmee op de mate waarin metadata duurzaam verbonden blijven met informatieobjecten, ook bij wijzigingen, migratie of uitwisseling.</t>
  </si>
  <si>
    <t>Binnen een applicatie worden informatieobjecten opgeslagen die gedurende langere tijd toegankelijk en leesbaar moeten blijven. Gebruikers kunnen verschillende bestandsformaten uploaden, afkomstig uit uiteenlopende processen en systemen.
De vraag is dan:
- Worden duurzame bestandsformaten ondersteund of afgedwongen?
- Welke bestandsformaten zijn toegestaan?
- Sluiten deze aan op de voorkeursformaten van het Nationaal Archief?
- Worden minder duurzame of propriëtaire formaten herkend?
- Vindt validatie plaats bij opname?
- Worden bestanden automatisch geconverteerd naar een duurzaam formaat?
- Is inzichtelijk hoe afwijkende bestandsformaten worden behandeld?
Wanneer ondersteuning van duurzame bestandsformaten niet expliciet is ingericht, ontstaan risico’s zoals:
- verlies van leesbaarheid op lange termijn
- afhankelijkheid van specifieke software of leveranciers
- problemen bij migratie of archivering
- niet-duurzame opslag van informatieobjecten
- onduidelijkheid over toegestane formaten binnen de organisatie
Deze vraag richt zich daarom niet alleen op het bestaan van eisen, maar op de aantoonbare toepassing van duurzame bestandsformaten binnen de werking van de applicatie.</t>
  </si>
  <si>
    <t>Binnen een applicatie hebben verschillende gebruikers toegang tot informatieobjecten, afhankelijk van hun rol, functie of verantwoordelijkheden. Niet iedere gebruiker mag dezelfde informatie bekijken, wijzigen of verwijderen.
De vraag is dan:
- Is Identity &amp; Access Management (IAM) ingericht?
- Is duidelijk wie toegang krijgt tot welke informatie?
- Zijn rollen en rechten gekoppeld aan functies of processen?
- Worden autorisaties centraal beheerd?
- Is toegang gebaseerd op het principe van minimale rechten?
- Worden rechten automatisch aangepast bij functiewijziging of uitdiensttreding?
- Is inzichtelijk wie wanneer toegang heeft gehad?
Wanneer IAM onvoldoende is ingericht, ontstaan risico’s zoals:
- ongeautoriseerde toegang
- te brede rechten
- toegang door ex-medewerkers
- onduidelijke verantwoordelijkheden
- onvoldoende controle op vertrouwelijkheid en integriteit
Deze vraag richt zich daarmee niet alleen op loginfunctionaliteit, maar op de structurele inrichting van identiteit, autorisatie en toegangsbeheer gedurende de volledige lifecycle van gebruikers en informatie.</t>
  </si>
  <si>
    <t>Binnen de applicatie worden documenten opgeslagen die gedurende lange tijd beschikbaar moeten blijven, bijvoorbeeld beleidsstukken, besluiten of toezichtdossiers.
In de huidige situatie kunnen documenten worden geopend via een viewer of gekoppelde bronapplicatie.
De vraag is dan:
- blijven bestanden ook over tientallen jaren leesbaar?
- is de viewer dan nog beschikbaar?
- zijn gebruikte bestandsformaten duurzaam ondersteund?
- kan informatie onafhankelijk van de bronapplicatie worden geraadpleegd?
- hoe wordt omgegaan met verouderde software of formaten?
Wanneer duurzame toegankelijkheid niet expliciet is ingericht, ontstaan risico’s zoals:
- niet-openbare bestanden
- afhankelijkheid van verouderde software
- verlies van leesbaarheid
- beperkte raadpleegbaarheid
- verlies van context of bewijswaarde
Deze vraag richt zich daarom niet alleen op huidige weergavefunctionaliteit, maar op langdurige toegankelijkheid gedurende de volledige bewaartermijn.</t>
  </si>
  <si>
    <t>Binnen de applicatie worden informatieobjecten langdurig opgeslagen, bijvoorbeeld voor bewaartermijnen van 10, 20 of 50 jaar.
Hoewel documenten op moment van opslag leesbaar zijn, kan leesbaarheid in de tijd afnemen door:
- verouderde bestandsformaten
- corrupte bestanden
- software die niet meer ondersteund wordt
- beschadiging tijdens migratie of opslag
De vraag is dan:
- wordt periodiek gecontroleerd of bestanden nog geopend kunnen worden?
- wordt vastgesteld of inhoud nog correct wordt weergegeven?
- worden afwijkingen automatisch gesignaleerd?
- is inzichtelijk welke bestanden risico lopen?
- bestaat een proces voor herstel of conversie?
Wanneer periodieke leesbaarheidscontrole ontbreekt, ontstaan risico’s zoals:
- onopgemerkt verlies van toegankelijkheid
- beschadigde of deels onleesbare bestanden
- afhankelijkheid van verouderde software
- verlies van duurzame toegankelijkheid
- niet-aantoonbare kwaliteit van archiefinformatie
Deze vraag richt zich daarom niet alleen op actuele leesbaarheid, maar op actieve monitoring en borging van leesbaarheid gedurende de volledige bewaartermijn.</t>
  </si>
  <si>
    <t>Binnen een applicatie werken verschillende gebruikersgroepen met informatieobjecten, zoals behandelaars, IHH-specialisten, beheerders en externe ketenpartners.
De vraag is dan:
- Kunnen rechten worden ingesteld op meerdere niveaus?
- Is autorisatie mogelijk op dossier-, document-, proces- of metadata-niveau?
- Kunnen rechten verschillen per rol of organisatieonderdeel?
- Is het mogelijk bepaalde informatie af te schermen?
- Kunnen uitzonderingen worden ingericht voor vertrouwelijke informatie?
Wanneer autorisaties slechts op één niveau mogelijk zijn, ontstaan risico’s zoals:
- te brede toegang
- onvoldoende afscherming
- ongeautoriseerde inzage
- beperkte toepassing van need-to-know-principes
Deze vraag richt zich op de mate waarin toegangsbeheer flexibel en passend kan worden ingericht.</t>
  </si>
  <si>
    <t>Binnen een applicatie worden informatieobjecten geraadpleegd, gewijzigd, verwijderd of beheerd door verschillende gebruikers.
De vraag is dan:
- Worden acties op informatieobjecten gelogd?
- Is zichtbaar wie een object heeft geopend of gewijzigd?
- Worden beheeracties vastgelegd?
- Is logging beschikbaar voor zowel gebruikers als beheerders?
- Zijn loggegevens raadpleegbaar en controleerbaar?
Wanneer audittrail ontbreekt of beperkt is ingericht, ontstaan risico’s zoals:
- niet-herleidbare wijzigingen
- beperkte controleerbaarheid
- onvoldoende bewijs bij incidenten
- onduidelijkheid over verantwoordelijkheden
Deze vraag richt zich op de mate waarin gebruik en beheer van informatieobjecten aantoonbaar worden vastgelegd.</t>
  </si>
  <si>
    <t>Binnen een applicatie worden grote hoeveelheden informatieobjecten opgeslagen. Gebruikers moeten informatie kunnen terugvinden op basis van inhoud, metadata of context.
De vraag is dan:
- Kunnen gebruikers zoeken op metadata?
- Kan gezocht worden op dossier, zaak, datum of classificatie?
- Ondersteunt de applicatie full-text zoeken?
- Kunnen filters of zoekcombinaties worden gebruikt?
- Is zoeken mogelijk over meerdere objecttypen?
Wanneer zoekfunctionaliteit beperkt is, ontstaan risico’s zoals:
- informatie niet terugvinden
- dubbele registrate
- inefficiënt beheer
- verlies van overzicht
Deze vraag richt zich op de mate waarin informatieobjecten daadwerkelijk vindbaar en toegankelijk zijn voor gebruikers.</t>
  </si>
  <si>
    <t>Binnen een applicatie worden informatieobjecten opgeslagen die door gebruikers geraadpleegd moeten kunnen worden voor uitvoering van processen, verantwoording of archivering.
De vraag is dan:
- Kunnen gebruikers informatieobjecten openen en bekijken?
- Kunnen bestanden worden gedownload?
- Gelden autorisaties ook bij downloaden?
- Is zichtbaar welke versie wordt geraadpleegd?
- Wordt downloadgedrag gelogd?
- Kunnen gebruikers informatie raadplegen zonder afhankelijk te zijn van de bronapplicatie?
Wanneer raadpleging of download onvoldoende is ingericht, ontstaan risico’s zoals:
- beperkte toegankelijkheid
- afhankelijkheid van specifieke viewers
- verlies van context bij losse downloads
- onvoldoende controle op verspreiding van informatie
Deze vraag richt zich op de mate waarin informatieobjecten daadwerkelijk toegankelijk en bruikbaar zijn voor geautoriseerde gebruikers.</t>
  </si>
  <si>
    <t>Binnen een applicatie moeten informatieobjecten soms worden geëxporteerd, bijvoorbeeld voor migratie, overbrenging, of informatie-uitwisseling met andere systemen.
De vraag is dan:
- Kan informatie worden geëxporteerd inclusief metadata?
- Worden relaties tussen objecten behouden?
- Gaan bewaartermijnen, classificaties en dossierstructuur mee?
- Worden metadata in een gestructureerd formaat meegeleverd?
- Is export onafhankelijk van leverancierspecifieke formaten?
- Kan export volledig en controleerbaar plaatsvinden?
Wanneer export alleen bestanden bevat zonder metadata, ontstaan risico’s zoals:
- verlies van context
- onbruikbare migraties
- niet-herleidbare informatie
- verlies van bewaartermijnen of classificatie
- afhankelijkheid van leverancier of systeem
Deze vraag richt zich daarom niet alleen op exportfunctionaliteit, maar op de duurzame overdraagbaarheid van informatie inclusief context en beheerinformatie.</t>
  </si>
  <si>
    <t>Binnen een organisatie worden meerdere applicaties gebruikt voor het beheren van informatieobjecten. Voor vernietiging bestaat een algemeen vernietigingsprotocol waarin is vastgelegd onder welke voorwaarden informatie vernietigd mag worden, welke autorisaties nodig zijn en welke besluitvorming plaatsvindt.
De vraag is dan:
Hoe wordt dit vernietigingsprotocol toegepast binnen de specifieke applicatie?
Welke functionaliteit ondersteunt vernietiging?
Wie voert vernietiging uit?
Welke rollen zijn betrokken bij controle en autorisatie?
Wordt vernietiging aantoonbaar vastgelegd?
Hoe wordt omgegaan met back-ups, exports of gekoppelde systemen?
Omdat applicaties verschillende opslagmechanismen, koppelingen en beheerfunctionaliteiten hebben, is een generiek vernietigingsprotocol niet altijd voldoende om de uitvoering binnen een specifieke applicatie te begrijpen.
Wanneer een applicatiegerichte uitwerking ontbreekt, ontstaan risico’s zoals:
- onduidelijkheid over verantwoordelijkheden
- verschillende interpretaties van vernietiging
- onvolledige verwijdering
- beperkte controleerbaarheid
- afhankelijkheid van impliciete aannames over systeemgedrag
Deze vraag richt zich daarom op de mate waarin vernietiging niet alleen organisatorisch is beschreven, maar ook expliciet en aantoonbaar binnen de applicatie is ingericht.</t>
  </si>
  <si>
    <t xml:space="preserve">Binnen een applicatie wordt informatie gemigreerd vanuit een ouder systeem naar een nieuwe omgeving. Tijdens migratie worden informatieobjecten, metadata, relaties en bewaartermijnen overgezet.
De vraag is dan:
- Is migratie aantoonbaar gecontroleerd uitgevoerd?
- Is een migratieplan beschikbaar?
- Zijn testresultaten vastgelegd?
- Is gecontroleerd op volledigheid en juistheid?
- Zijn afwijkingen gedocumenteerd?
- Kan achteraf worden aangetoond dat informatie correct is overgekomen?
Wanneer migratie niet gecontroleerd en gedocumenteerd plaatsvindt, ontstaan risico’s zoals:
- verlies van informatie
- ontbrekende metadata
- beschadigde dossiers
- onjuiste bewaartermijnen
- beperkte aantoonbaarheid richting audit of toezicht
Deze vraag richt zich daarom op de mate waarin migratie niet alleen technisch wordt uitgevoerd, maar ook controleerbaar, reproduceerbaar en aantoonbaar wordt vastgelegd.
</t>
  </si>
  <si>
    <t>Binnen een migratie worden informatieobjecten vanuit een bestaande applicatie overgezet naar een nieuwe omgeving. Hierbij worden documenten, metadata, relaties en ordeningsstructuren vertaald naar een nieuwe inrichting.
De vraag is dan:
- Is vastgesteld of informatie verloren gaat?
- Wordt metadata volledig meegenomen?
- Blijft context behouden?
- Zijn verschillen tussen bron en doel inzichtelijk?
- Wordt impact van transformaties vastgelegd?
Wanneer verliesanalyse ontbreekt, ontstaan risico’s zoals:
- onopgemerkt contextverlies
- ontbrekende metadata
- gewijzigde betekenis van informatie
- niet-herleidbare migratiekeuzes
- beperkte controleerbaarheid achteraf
Deze vraag richt zich daarom niet op de intentie dat migratie volledig is, maar op de aantoonbare vaststelling van verschillen, verlies en impact na uitvoering.</t>
  </si>
  <si>
    <t xml:space="preserve">Binnen een applicatie worden informatieobjecten geregistreerd binnen processen, zaken of dossiers.
De vraag is dan:
- Wordt gecontroleerd of informatieobjecten in de juiste structuur zijn geplaatst?
- Zijn dossiers volledig?
- Worden documenten gekoppeld aan de juiste context?
- Worden verkeerd geplaatste objecten gesignaleerd?
</t>
  </si>
  <si>
    <t>Bij registratie krijgen informatieobjecten een bewaartermijn toegewezen.
De vraag is dan:
- Wordt gecontroleerd of bewaartermijnen correct zijn toegepast?
- Zijn selectiecategorieën juist gekoppeld?
- Worden uitzonderingen gecontroleerd?
- Is zichtbaar of verkeerde bewaartermijnen voorkomen?</t>
  </si>
  <si>
    <t>Informatieobjecten bereiken hun vernietigingsdatum.
De vraag is dan:
- Wordt gecontroleerd of vernietiging tijdig plaatsvindt?
- Blijven objecten onterecht bestaan?
- Worden achterstanden inzichtelijk gemaakt?
- Is vernietiging aantoonbaar uitgevoerd?</t>
  </si>
  <si>
    <t>Informatieobjecten met blijvende bewaring moeten worden overgebracht.
De vraag is dan:
- Wordt gecontroleerd welke informatie overbrengingsplichtig is?
- Wordt tijdige overdracht bewaakt?
- Zijn dossiers compleet bij overbrenging?</t>
  </si>
  <si>
    <t>Kwaliteitscontroles worden uitgevoerd op informatiebeheer.
De vraag is dan:
- Worden resultaten geregistreerd?
- Zijn afwijkingen traceerbaar?
- Leiden bevindingen tot verbeteracties?
- Is opvolging aantoonbaar?</t>
  </si>
  <si>
    <t>Must</t>
  </si>
  <si>
    <t>NVT</t>
  </si>
  <si>
    <t>Belangrijk</t>
  </si>
  <si>
    <t>Wenselijk</t>
  </si>
  <si>
    <t>Niet van toepassing</t>
  </si>
  <si>
    <t>Sterk gewenst, maar niet altijd kritiek</t>
  </si>
  <si>
    <t>Niet relevant voor deze applicatie</t>
  </si>
  <si>
    <r>
      <t xml:space="preserve">1. Governance &amp; beheer </t>
    </r>
    <r>
      <rPr>
        <b/>
        <i/>
        <sz val="9"/>
        <color theme="1"/>
        <rFont val="Verdana"/>
        <family val="2"/>
      </rPr>
      <t>(DUTO-kenmerken betrouwbaar, toekomstbestendig)</t>
    </r>
  </si>
  <si>
    <r>
      <t xml:space="preserve">2. Registratie &amp; metadata  </t>
    </r>
    <r>
      <rPr>
        <b/>
        <i/>
        <sz val="9"/>
        <color theme="1"/>
        <rFont val="Verdana"/>
        <family val="2"/>
      </rPr>
      <t>(DUTO-kenmerken vindbaar en interpreteerbaar)</t>
    </r>
  </si>
  <si>
    <r>
      <t xml:space="preserve">3. Structuur &amp; classificatie </t>
    </r>
    <r>
      <rPr>
        <b/>
        <i/>
        <sz val="9"/>
        <color theme="1"/>
        <rFont val="Verdana"/>
        <family val="2"/>
      </rPr>
      <t>(DUTO-kenmerken vindbaar en interpreteerbaar)</t>
    </r>
  </si>
  <si>
    <r>
      <t xml:space="preserve">4. Bewaren &amp; integriteit </t>
    </r>
    <r>
      <rPr>
        <b/>
        <i/>
        <sz val="9"/>
        <color theme="1"/>
        <rFont val="Verdana"/>
        <family val="2"/>
      </rPr>
      <t>(DUTO-kenmerken betrouwbaar, leesbaar en toekomstbestendig)</t>
    </r>
  </si>
  <si>
    <r>
      <t xml:space="preserve">5. Toegang &amp; beveiliging </t>
    </r>
    <r>
      <rPr>
        <b/>
        <i/>
        <sz val="9"/>
        <color theme="1"/>
        <rFont val="Verdana"/>
        <family val="2"/>
      </rPr>
      <t>(DUTO-kenmerken betrouwbaar en beschikbaar)</t>
    </r>
  </si>
  <si>
    <r>
      <t xml:space="preserve">6. Beschikbaarheid &amp; gebruik </t>
    </r>
    <r>
      <rPr>
        <b/>
        <i/>
        <sz val="9"/>
        <color theme="1"/>
        <rFont val="Verdana"/>
        <family val="2"/>
      </rPr>
      <t>(DUTO-kenmerken vindbaar en beschikbaar)</t>
    </r>
  </si>
  <si>
    <r>
      <t xml:space="preserve">7. Beheerprocessen </t>
    </r>
    <r>
      <rPr>
        <b/>
        <i/>
        <sz val="9"/>
        <color theme="1"/>
        <rFont val="Verdana"/>
        <family val="2"/>
      </rPr>
      <t>(DUTO-kenmerken betrouwbaar en toekomstbestendig)</t>
    </r>
  </si>
  <si>
    <r>
      <t xml:space="preserve">8. Kwaliteitscontrole informatiebeheer </t>
    </r>
    <r>
      <rPr>
        <b/>
        <i/>
        <sz val="9"/>
        <color theme="1"/>
        <rFont val="Verdana"/>
        <family val="2"/>
      </rPr>
      <t>(alle DUTO-kenmerken: vindbaar, beschikbaar, leesbaar, interpreteerbaar, betrouwbaar en toekomstbestendig)</t>
    </r>
  </si>
  <si>
    <t>MoScoW</t>
  </si>
  <si>
    <t>Should</t>
  </si>
  <si>
    <t>Could</t>
  </si>
  <si>
    <t>Would</t>
  </si>
  <si>
    <t>Beschreven of zichtbaar in de praktijk, maar nog beperkt ingericht, inconsistent toegepast of onvoldoende geborgd.</t>
  </si>
  <si>
    <t>Goed gedocumenteerd en grotendeels ingericht of werkend maar nog niet volledig vastgesteld of praktijk aanwezig maar documentatie nog niet volledig uitgewerkt.</t>
  </si>
  <si>
    <t>Volledig gedocumenteerd en aantoonbaar werkend in de praktijk. Structureel geborgd, controleerbaar en reproduceerbaar.</t>
  </si>
  <si>
    <t>Totaal</t>
  </si>
  <si>
    <t>Score 4-5</t>
  </si>
  <si>
    <t>% ingevuld</t>
  </si>
  <si>
    <t>Niet aanwezig. Geen documentatie, geen inrichting, geen aanwijzingen dat het onderwerp is meegenomen. 
Of: niet van toepassing voor deze applicatie/context</t>
  </si>
  <si>
    <t>Weging</t>
  </si>
  <si>
    <t>De grafiek laat zien welk deel van de eisen per MoSCoW-prioriteit een score 4 of 5 behaalt. Hierdoor wordt zichtbaar in hoeverre belangrijke eisen aantoonbaar zijn ingericht.</t>
  </si>
  <si>
    <t>De grafiek toont de gemiddelde score per DUTO-kenmerk. Eisen met een hogere MoSCoW-prioriteit tellen daarbij zwaarder mee.</t>
  </si>
  <si>
    <t>De grafiek toont de gemiddelde score per DUTO-functie. Eisen met een hogere MoSCoW-prioriteit tellen daarbij zwaarder mee.</t>
  </si>
  <si>
    <t>De grafiek toont de gemiddelde score per domein. Eisen met een hogere MoSCoW-prioriteit tellen daarbij zwaarder mee.</t>
  </si>
  <si>
    <t>De grafiek toont de gemiddelde score per categorie. Eisen met een hogere MoSCoW-prioriteit tellen daarbij zwaarder mee.</t>
  </si>
  <si>
    <t>Kleur</t>
  </si>
  <si>
    <t>Betekenis</t>
  </si>
  <si>
    <t>Onvoldoende</t>
  </si>
  <si>
    <t>Beperkt</t>
  </si>
  <si>
    <t>Goed ingericht</t>
  </si>
  <si>
    <t>Grotendeels op orde</t>
  </si>
  <si>
    <r>
      <t xml:space="preserve">Gewogen score
</t>
    </r>
    <r>
      <rPr>
        <i/>
        <sz val="10.5"/>
        <color theme="0"/>
        <rFont val="Verdana"/>
        <family val="2"/>
      </rPr>
      <t>score met MoSCoW</t>
    </r>
  </si>
  <si>
    <t>Processen</t>
  </si>
  <si>
    <t>Functies</t>
  </si>
  <si>
    <t>Functiescore</t>
  </si>
  <si>
    <t>Tabel bij Duto-score per domein</t>
  </si>
  <si>
    <t>Tabel bij Duto-score per categorie</t>
  </si>
  <si>
    <t>Tabel bij Duto-score per kenmerk</t>
  </si>
  <si>
    <t>Tabel bij Duto-score per functie</t>
  </si>
  <si>
    <t>Tabel bij Duto-eisen MoSCoW</t>
  </si>
  <si>
    <t>Duto-proces</t>
  </si>
  <si>
    <t>score</t>
  </si>
  <si>
    <t>De grafiek toont de gemiddelde score per DUTO-proces. Eisen met een hogere MoSCoW-prioriteit tellen daarbij zwaarder mee.</t>
  </si>
  <si>
    <t>Tabel bij DUTO-processen</t>
  </si>
  <si>
    <t>Discipline</t>
  </si>
  <si>
    <t>Kwetsbaarheid</t>
  </si>
  <si>
    <t>Cybersecurity</t>
  </si>
  <si>
    <t xml:space="preserve">Informatiebeveiliging </t>
  </si>
  <si>
    <t xml:space="preserve">Privacy </t>
  </si>
  <si>
    <t xml:space="preserve">Functioneel beheer </t>
  </si>
  <si>
    <t xml:space="preserve">Informatiebeheer </t>
  </si>
  <si>
    <t xml:space="preserve">Woo </t>
  </si>
  <si>
    <t xml:space="preserve">Governance
</t>
  </si>
  <si>
    <t>H</t>
  </si>
  <si>
    <t>L</t>
  </si>
  <si>
    <t>O</t>
  </si>
  <si>
    <t>Hoog</t>
  </si>
  <si>
    <t>Middel</t>
  </si>
  <si>
    <t>Laag</t>
  </si>
  <si>
    <t>Geen</t>
  </si>
  <si>
    <t>Ophalen informatie uit andere systemen</t>
  </si>
  <si>
    <t>Afschermen gevoelige informatie</t>
  </si>
  <si>
    <t>Beheer van metadata en context</t>
  </si>
  <si>
    <t>Registreren in beheerde omgeving</t>
  </si>
  <si>
    <t>Duurzaam bewaren van informatie</t>
  </si>
  <si>
    <t>Beschikbaarstellen van informatie</t>
  </si>
  <si>
    <t>Correct weergeven van informatie</t>
  </si>
  <si>
    <t>Beheer van rechten en toegang</t>
  </si>
  <si>
    <t>Delen tussen systemen of organisaties</t>
  </si>
  <si>
    <t>Controleren op juistheid en integriteit</t>
  </si>
  <si>
    <t>Aantonen van verwerking en gebruik</t>
  </si>
  <si>
    <t>Gecontroleerd verwijderen van informatie</t>
  </si>
  <si>
    <t xml:space="preserve">Terugvinden van informatie
</t>
  </si>
  <si>
    <t xml:space="preserve">Omzetten naar ander formaat
</t>
  </si>
  <si>
    <t xml:space="preserve">Vastzetten informatieobject
</t>
  </si>
  <si>
    <t>Governance 
risico</t>
  </si>
  <si>
    <t>Governance 
belang</t>
  </si>
  <si>
    <t>Hoog risico/onvoldoende beheerst</t>
  </si>
  <si>
    <t>Aandacht vereist</t>
  </si>
  <si>
    <t>Redelijk beheerst</t>
  </si>
  <si>
    <t>Goed beheerst</t>
  </si>
  <si>
    <t>Impact</t>
  </si>
  <si>
    <t xml:space="preserve">Datamanagement </t>
  </si>
  <si>
    <t>Impactwaarde</t>
  </si>
  <si>
    <t>gewogen impactscore</t>
  </si>
  <si>
    <t>Discipine</t>
  </si>
  <si>
    <t>kwetsbaarheid</t>
  </si>
  <si>
    <t>Hoge impact</t>
  </si>
  <si>
    <t>Risico duiding</t>
  </si>
  <si>
    <t xml:space="preserve">Datamanagement , Privacy , Informatiebeheer </t>
  </si>
  <si>
    <t xml:space="preserve">Privacy , Informatiebeveiliging , Cybersecurity, Informatiebeheer , Governance
</t>
  </si>
  <si>
    <t xml:space="preserve">Datamanagement , Informatiebeheer </t>
  </si>
  <si>
    <t xml:space="preserve">Privacy , Informatiebeveiliging , Woo </t>
  </si>
  <si>
    <t xml:space="preserve">Datamanagement , Privacy , Informatiebeveiliging , Informatiebeheer , Woo , Governance
</t>
  </si>
  <si>
    <t xml:space="preserve">Datamanagement , Privacy , Informatiebeveiliging , Functioneel beheer , Informatiebeheer </t>
  </si>
  <si>
    <t xml:space="preserve">Datamanagement , Privacy , Informatiebeveiliging , Cybersecurity, Functioneel beheer , Informatiebeheer </t>
  </si>
  <si>
    <t xml:space="preserve">Privacy , Informatiebeveiliging , Woo , Governance
</t>
  </si>
  <si>
    <t xml:space="preserve">Functioneel beheer , Informatiebeheer </t>
  </si>
  <si>
    <t xml:space="preserve">Datamanagement , Privacy , Informatiebeveiliging , Cybersecurity, Functioneel beheer , Informatiebeheer , Governance
</t>
  </si>
  <si>
    <t xml:space="preserve">Datamanagement , Privacy , Informatiebeveiliging , Functioneel beheer , Informatiebeheer , Governance
</t>
  </si>
  <si>
    <t xml:space="preserve">Datamanagement , Privacy , Informatiebeveiliging , Cybersecurity, Informatiebeheer , Woo , Governance
</t>
  </si>
  <si>
    <t xml:space="preserve">Datamanagement , Privacy , Informatiebeheer , Woo </t>
  </si>
  <si>
    <t>Volwassenheid</t>
  </si>
  <si>
    <t>Risico</t>
  </si>
  <si>
    <t>Deze tabel laat zien in welke mate DUTO-functies momenteel volwassen zijn ingericht en welke IV-disciplines hierdoor direct worden geraakt. Een lage volwassenheid op functies met een hoge disciplinaire impact vergroot het risico op knelpunten binnen bijvoorbeeld privacy, informatiebeveiliging, Woo, cybersecurity en governance.</t>
  </si>
  <si>
    <t>Datamanagement</t>
  </si>
  <si>
    <t>Privacy</t>
  </si>
  <si>
    <t>Informatiebeveiliging</t>
  </si>
  <si>
    <t>Functioneel Beheer</t>
  </si>
  <si>
    <t>Informatiebeheer</t>
  </si>
  <si>
    <t>Woo</t>
  </si>
  <si>
    <t>MIDDEL</t>
  </si>
  <si>
    <t>LAAG</t>
  </si>
  <si>
    <t>GOED</t>
  </si>
  <si>
    <t>Deze tabel toont per IV-discipline welke DUTO-functies op basis van de huidige volwassenheid een hoog, middel, laag of beperkt risico vormen. Hierbij zijn uitsluitend functies meegenomen die een hoge impact hebben op de betreffende discipline. Zo wordt zichtbaar waar onvoldoende DUTO-volwassenheid kan doorwerken naar bredere IV-risico’s.</t>
  </si>
  <si>
    <t>DUTO-functie</t>
  </si>
  <si>
    <t>Prio score</t>
  </si>
  <si>
    <t>Prio</t>
  </si>
  <si>
    <t>Algemene volwassenheid</t>
  </si>
  <si>
    <t>DUTO-Functies</t>
  </si>
  <si>
    <t>Disciplinaire impact</t>
  </si>
  <si>
    <t>Top 3 te verbeteren DUTO-functies</t>
  </si>
  <si>
    <t>Top 3 kwetsbare categorieën</t>
  </si>
  <si>
    <t>Top 3 disciplines met hoogste risico</t>
  </si>
  <si>
    <t>Top 3 sterkst geborgde onderdelen</t>
  </si>
  <si>
    <t>Kernpunten</t>
  </si>
  <si>
    <t>Aandachtspunten/Verbetervoorstellen</t>
  </si>
  <si>
    <t>Dit onderdeel biedt ruimte om de belangrijkste observaties uit de DUTO-analyse te duiden. Hier worden opvallende patronen, risico’s, sterke punten en samenhang tussen functies, categorieën en disciplines kort samengevat.</t>
  </si>
  <si>
    <t>Dit onderdeel biedt ruimte om op basis van de analyse concrete aandachtspunten en verbetervoorstellen vast te leggen. Hierbij kan het gaan om verbeteringen in DUTO-functionaliteit, governance, processen, informatiebeveiliging, privacy of multidisciplinaire risico’s.</t>
  </si>
  <si>
    <t>•</t>
  </si>
  <si>
    <t>Prioriteitenoverzicht</t>
  </si>
  <si>
    <t xml:space="preserve">
Het dashboard toont de gewogen volwassenheid van de applicatie op basis van DUTO-eisen. 
</t>
  </si>
  <si>
    <t>Kunnen informatieobjecten en metadata beschikbaar worden gesteld op mobiele apparaten?</t>
  </si>
  <si>
    <t>Kunnen gebruikers gepersonaliseerde weergaven van zoekresultaten configureren?</t>
  </si>
  <si>
    <t>9. Ter beschikking stellen (DUTO-kenmerken: vindbaar, beschikbaar, interpreteerbaar en betrouwbaar)</t>
  </si>
  <si>
    <t>Scores - Hoe beoordeel je de vragen</t>
  </si>
  <si>
    <t>Won't (nu)</t>
  </si>
  <si>
    <t>Noodzakelijk</t>
  </si>
  <si>
    <t>Geen prioriteit</t>
  </si>
  <si>
    <t>Kritiek voor deze applicatie</t>
  </si>
  <si>
    <t>Toegevoegde waarde, maar geen noodzaak voor nu</t>
  </si>
  <si>
    <t>Bewust geen prioriteit op dit moment</t>
  </si>
  <si>
    <t>Nr</t>
  </si>
  <si>
    <t>Toelichting op vragen</t>
  </si>
  <si>
    <t>Binnen een applicatie worden informatieobjecten geregistreerd via handmatige invoer, sjablonen of automatische koppelingen. Tijdens registratie moet worden bepaald welke bewaartermijn van toepassing is.
De vraag is dan:
- Wordt bij registratie automatisch een bewaartermijn gekoppeld?
- Op basis waarvan gebeurt dit (zaaktype, procestype, metadata, selectiecategorie)?
- Wordt de juiste selectiecategorie automatisch toegepast?
- Is de koppeling afhankelijk van verplichte metadata?
- Kan een gebruiker de bewaartermijn aanpassen of overschrijven?
- Hoe wordt omgegaan met uitzonderingen of afwijkende situaties?
- Is achteraf herleidbaar waarom een bepaalde bewaartermijn is toegekend?
Wanneer automatische koppeling ontbreekt of onvoldoende is ingericht, ontstaan risico’s zoals:
- handmatige fouten bij toekenning van bewaartermijnen
- inconsistente toepassing tussen gebruikers of organisatieonderdelen
- onjuiste vernietigings- of overbrengingsmomenten
- verkeerde koppeling aan selectiecategorieën
- ontbrekende of niet-herleidbare besluitvorming over bewaartermijnen
- afhankelijkheid van gebruikerskennis in plaats van systeemondersteuning
- verhoogde kans op te vroeg vernietigen of te lang bewaren.
Deze vraag richt zich daarmee op de mate waarin bewaartermijnen structureel, consistent en herleidbaar worden gekoppeld aan informatieobjecten vanaf het moment van registratie</t>
  </si>
  <si>
    <t xml:space="preserve">Binnen digitale ondertekening bestaan verschillende niveaus van betrouwbaarheid en bewijswaarde.
1. Gewone elektronische handtekening
Kenmerken: beperkte zekerheid over identiteit, weinig technische verificatie, bewijswaarde afhankelijk van context
2. Geavanceerde elektronische handtekening
Kenmerken: gekoppeld aan een specifieke ondertekenaar, wijzigingen aan document zijn detecteerbaar, unieke koppeling met ondertekenaar
Meer zekerheid, maar niet altijd juridisch gelijkwaardig aan natte handtekening.
3. Gekwalificeerde elektronische handtekening
Zwaarste variant.
Kenmerken: gebaseerd op gekwalificeerd certificaat, uitgegeven door erkende vertrouwensdienst, juridisch gelijkgesteld aan handgeschreven handtekening, hoogste bewijswaarde.
Bij de gekwalificeerde handtekening ontstaan aanvullende eisen voor langdurige archivering en verificatie.
Voorbeeld: 
Een besluit wordt in 2026 ondertekend met een gekwalificeerde elektronische handtekening. Het certificaat van de ondertekenaar verloopt na drie jaar. In 2045 moet worden aangetoond dat:
- het document authentiek is
- de handtekening geldig was op moment van ondertekening
- het document sindsdien niet gewijzigd is.
De vraag ontstaat dan:
- zijn certificaatketens nog beschikbaar?
- is revocationinformatie bewaard?
- zijn tijdstempels duurzaam opgeslagen?
- blijft verificatie onafhankelijk mogelijk?
- of is alleen zichtbaar dat er ooit een handtekening aanwezig was?
Bij een gewone elektronische handtekening zijn deze eisen beperkter. Bij een gekwalificeerde handtekening zijn ze essentieel, omdat juist daar juridische bewijswaarde en langdurige verifieerbaarheid centraal staan.
Wanneer langdurige verificatie van digitale handtekeningen onvoldoende is ingericht, ontstaan risico’s zoals:
- verlies van juridische bewijswaarde
- niet meer kunnen aantonen wie heeft ondertekend
- onmogelijkheid om authenticiteit achteraf te verifiëren
- verlopen certificaten zonder bewaarde verificatiecontext
- afhankelijkheid van externe validatiediensten
- verlies van tijdstempels of certificaatketens
- onzekerheid of een document sinds ondertekening gewijzigd is
Deze vraag richt zich daarmee niet alleen op het bewaren van een handtekening als zichtbaar element, maar op de duurzame beschikbaarheid van alle informatie die nodig is om de handtekening gedurende de volledige bewaartermijn te kunnen verifiëren.
</t>
  </si>
  <si>
    <t>Leeswijzer DUTO-applicatie-scan</t>
  </si>
  <si>
    <t>Praktische uitleg voorhet invullen, interpreteren en opvolgen van de scan.</t>
  </si>
  <si>
    <t>Waarvoor gebruik je deze scan?</t>
  </si>
  <si>
    <t>De DUTO-applicatie-scan is een praktisch hulpmiddel om in beeld te brengen in hoeverre bij de inrichting en het beheer van een applicatie rekening is gehouden met duurzame toegankelijkheid van informatie.
De scan is bedoeld als gespreks- en analyse-instrument. De uitkomst helpt om te bepalen wat al goed is ingericht, waar nog aandacht nodig is en welke verbetermaatregelen het meest relevant zijn.
De scan is nadrukkelijk geen audit of afvinklijst. Niet ieder aspect van duurzame toegankelijkheid is voor iedere applicatie even relevant en een lage score betekent daarom niet automatisch dat een applicatie 'niet DUTO' is.</t>
  </si>
  <si>
    <t>Wie vult de scan in?</t>
  </si>
  <si>
    <t>Vul de scan bij voorkeur gezamenlijk in met de mensen die vanuit verschillende rollen kennis hebben van de applicatie en de informatie die daarin wordt beheerd. Denk bijvoorbeeld aan:
- informatiebeheer;
- functioneel beheer;
- de proceseigenaar of informatie-eigenaar;
- architectuur en IV;
- privacy en informatiebeveiliging;
- eventueel de leverancier.
Niet iedere rol hoeft bij iedere scan betrokken te zijn. Kies de deelnemers die nodig zijn om de antwoorden goed te kunnen onderbouwen.</t>
  </si>
  <si>
    <t>Zo gebruik je de scan</t>
  </si>
  <si>
    <t>Begin in het tabblad Scan. Beantwoord de vragen op basis van de feitelijke inrichting van de applicatie en de beschikbare documentatie.
Geef iedere vraag een score van 0 tot en met 5:</t>
  </si>
  <si>
    <t>niet aanwezig of niet niet ingericht</t>
  </si>
  <si>
    <t>zeer beperkt aanwezig</t>
  </si>
  <si>
    <t>gedeeltelijk beschreven of ingericht</t>
  </si>
  <si>
    <t>aanwezig, maar nog beperkt of onvoldoende geborgd</t>
  </si>
  <si>
    <t>goed ingericht en grotendeels aantoonbaar</t>
  </si>
  <si>
    <t>volledig ingericht, aantoonbaar werkend en structureel geborgd</t>
  </si>
  <si>
    <t>Leg waar mogelijk vast waarop de beoordeling is gebaseerd. Denk aan beleid, werkinstructies, schermafbeeldingen, autorisatiematrices, beheerafspraken, architectuurdocumentatie of een toelichting van functioneel beheer. Daarmee wordt de scan niet alleen een momentopname, maar ook bruikbaar bij een volgende kwaliteitscontrole.</t>
  </si>
  <si>
    <t>Bepaal wat voor deze applicatie relevant is</t>
  </si>
  <si>
    <t>Niet iedere eis weegt voor iedere applicatie even zwaar. Gebruik daarom de MoSCoW-classificatie om de relevantie voor de betreffende applicatie te bepalen.</t>
  </si>
  <si>
    <t xml:space="preserve">Won't </t>
  </si>
  <si>
    <t>Won't</t>
  </si>
  <si>
    <t>Deze classificatie vraagt om een inhoudelijke afweging. Een eis die voor een DMS essentieel is, kan voor een andere applicatie minder zwaar wegen. Kijk daarbij onder meer naar de functie van een applicatie, het belang van de informatie, de bewaartermijnen, risico's en de plaats van de applicatie binnen het informatielandschap.
* Gebruik NVT alleen wanneer een onderwerp daadwerkelijke niet relevant is en niet wanneer iets nog niet is ingericht. 
**Leg bij Must, Won't en NVT waar nodig vast waarom voor deze classificatie is gekozen.</t>
  </si>
  <si>
    <t>Lees de uitkomsten in samenhang</t>
  </si>
  <si>
    <t>Het dashboard geeft verschillende doorsneden van de ingevulde scan. De resultaten
worden gemaakt naar categorie, DUTO-kenmerk, DUTO-functie en MoSCoW-prioriteit. 
Gebruik deze uitkomsten vooral om patronen te herkennen. Kijk daarom niet alleen 
naar maar voor naar:
1. laag scorende Must- en Should-vragen
2. onderwerpen met een hoog risico of grote impact
3. terugkerende zwakke plekken binnen Duto-Kenmerken of functies
4. maatregelen die relatief eenvoudig kunnen worden verbeterd
5. punten die nadere analyse of besluitvorming vragen.</t>
  </si>
  <si>
    <t>Van scan naar verbeteractie</t>
  </si>
  <si>
    <t>De scan is pas echt nuttig wanneer de uitkomsten worden vertaald naar concrete afspraken.
Bepaal voor relevante aandachtspunten:</t>
  </si>
  <si>
    <t xml:space="preserve">                 wat moet worden   verbeterd</t>
  </si>
  <si>
    <t xml:space="preserve">                          wie daarvoor    
                          verantwoordelijk
                          is       </t>
  </si>
  <si>
    <t xml:space="preserve">                       wanneer dit wordt
                       uitgevoerd </t>
  </si>
  <si>
    <t xml:space="preserve">                        Hoe het resultaat   
                        wordt getoetst</t>
  </si>
  <si>
    <t>Herhaal de scan</t>
  </si>
  <si>
    <t>Gebruik de scan niet allleen bij de eerste inrichting van een applicatie. Herhaal hem bijvoorbeeld na een grote wijziging, migratie of wijziging van beheerafspraken en periodiek als onderdeel van de kwaliteitscontrole.
Zo wordt de DUTO-applicatie-scan geen eenmalige checklist, maar een hulpmiddel om gedurende de levensduur van een applicatie periodiek stil te staan bij de duurzame toegankelijkheid van de informatie.</t>
  </si>
  <si>
    <t>Overzicht tabbladen</t>
  </si>
  <si>
    <t>De DUTO-applicatie-scan bestaat uit acht tabbladen.
Onderstaand overzicht helpt je snel de juiste informatie te vinden.</t>
  </si>
  <si>
    <t>Tabblad</t>
  </si>
  <si>
    <t>Wat vind je hier?</t>
  </si>
  <si>
    <t>Gebruik</t>
  </si>
  <si>
    <r>
      <rPr>
        <b/>
        <sz val="14"/>
        <color theme="1"/>
        <rFont val="Calibri"/>
        <family val="2"/>
        <scheme val="minor"/>
      </rPr>
      <t xml:space="preserve">Gebruiken - </t>
    </r>
    <r>
      <rPr>
        <sz val="12"/>
        <color theme="1"/>
        <rFont val="Calibri"/>
        <family val="2"/>
        <scheme val="minor"/>
      </rPr>
      <t>van uitleg naar invullen</t>
    </r>
  </si>
  <si>
    <t>Leeswijzer</t>
  </si>
  <si>
    <t xml:space="preserve">             Toelichting score 
en vragen</t>
  </si>
  <si>
    <t>Scan</t>
  </si>
  <si>
    <t>Doel, werkwijze en uitleg over het gebruik van de scan</t>
  </si>
  <si>
    <t>Uitleg bij de scores en inhoudelijke toelichting per vraag.</t>
  </si>
  <si>
    <t>Vragen, score en relevantiebepaling van de applicatie.</t>
  </si>
  <si>
    <r>
      <rPr>
        <b/>
        <sz val="11"/>
        <color theme="1"/>
        <rFont val="Calibri"/>
        <family val="2"/>
        <scheme val="minor"/>
      </rPr>
      <t xml:space="preserve">Start hier.
</t>
    </r>
    <r>
      <rPr>
        <sz val="11"/>
        <color theme="1"/>
        <rFont val="Calibri"/>
        <family val="2"/>
        <scheme val="minor"/>
      </rPr>
      <t>Lees dit voordat je met je scan begint.</t>
    </r>
  </si>
  <si>
    <t>Raadpleeg tijdens het invullen van de scan</t>
  </si>
  <si>
    <r>
      <rPr>
        <b/>
        <sz val="14"/>
        <color theme="1"/>
        <rFont val="Calibri"/>
        <family val="2"/>
        <scheme val="minor"/>
      </rPr>
      <t xml:space="preserve">Analyseren - </t>
    </r>
    <r>
      <rPr>
        <sz val="14"/>
        <color theme="1"/>
        <rFont val="Calibri"/>
        <family val="2"/>
        <scheme val="minor"/>
      </rPr>
      <t>resultaten bekijken en verdiepen</t>
    </r>
  </si>
  <si>
    <t>Dashboard</t>
  </si>
  <si>
    <r>
      <t xml:space="preserve">             Risico en impact
</t>
    </r>
    <r>
      <rPr>
        <sz val="14"/>
        <color theme="1"/>
        <rFont val="Calibri"/>
        <family val="2"/>
        <scheme val="minor"/>
      </rPr>
      <t xml:space="preserve">        (risicoweging)</t>
    </r>
  </si>
  <si>
    <t xml:space="preserve">               Overzicht risico   
functie </t>
  </si>
  <si>
    <t>Visualisatie van de resultaten vanuit verschillende invalshoeken.</t>
  </si>
  <si>
    <t>Weging van risico en impact van onderwerpen.</t>
  </si>
  <si>
    <t>Overzicht van risico's per DUTO-functie.</t>
  </si>
  <si>
    <t>Analyseerd aandachtspunten, patronen en prioriteiten.</t>
  </si>
  <si>
    <t>Verdiep de uitkomsten help prioriteren</t>
  </si>
  <si>
    <t>Bekijk waar risico's zich concertreren en waar aandacht nodig is.</t>
  </si>
  <si>
    <r>
      <rPr>
        <b/>
        <sz val="14"/>
        <color theme="1"/>
        <rFont val="Calibri"/>
        <family val="2"/>
        <scheme val="minor"/>
      </rPr>
      <t xml:space="preserve">Naslag- </t>
    </r>
    <r>
      <rPr>
        <sz val="14"/>
        <color theme="1"/>
        <rFont val="Calibri"/>
        <family val="2"/>
        <scheme val="minor"/>
      </rPr>
      <t>achtergrond en broninformatie</t>
    </r>
  </si>
  <si>
    <t xml:space="preserve">             Model-eisen DUTO</t>
  </si>
  <si>
    <t xml:space="preserve">             Randvoorwaarden 
DUTO</t>
  </si>
  <si>
    <t>Overzicht van de model-eisen vanuit het DUTO-raamwerk</t>
  </si>
  <si>
    <t>Overzicht van de randvoorwaarden vanuit het DUTO-raamwerk</t>
  </si>
  <si>
    <t>Naslag en achtergronddocumentatie bij de toetsing</t>
  </si>
  <si>
    <r>
      <rPr>
        <b/>
        <sz val="11"/>
        <color rgb="FFFF0000"/>
        <rFont val="Calibri"/>
        <family val="2"/>
        <scheme val="minor"/>
      </rPr>
      <t xml:space="preserve">                                               </t>
    </r>
    <r>
      <rPr>
        <b/>
        <sz val="11"/>
        <color theme="0"/>
        <rFont val="Calibri"/>
        <family val="2"/>
        <scheme val="minor"/>
      </rPr>
      <t xml:space="preserve">  Invullen</t>
    </r>
    <r>
      <rPr>
        <sz val="11"/>
        <color theme="1"/>
        <rFont val="Calibri"/>
        <family val="2"/>
        <scheme val="minor"/>
      </rPr>
      <t xml:space="preserve">
Vul hier de beoordeling en prioriteiten van de applicatie in.</t>
    </r>
  </si>
  <si>
    <t>Binnen een applicatie worden metadata gebruikt om informatieobjecten te beschrijven, terug te vinden en te beheren. De applicatie kan daarbij een eigen metadatamodel hanteren, met eigen veldnamen, relaties en classificaties.
De vraag is dan:
- Is het metadatamodel van de applicatie gedocumenteerd?
- Is inzichtelijk welke metadata-attributen beschikbaar zijn?
- Zijn definities, relaties en afhankelijkheden beschreven?
- Is vastgelegd hoe metadata in de applicatie zich verhouden tot het organisatiebrede metadatamodel?
- Is er een mapping beschikbaar naar bijvoorbeeld MDTO?
- Is duidelijk welke metadata ontbreken, afwijkend zijn of anders worden geïnterpreteerd?
- Wordt de mapping onderhouden bij wijzigingen in applicatie of organisatiemodel?
Wanneer een metadatamodel niet expliciet is gedocumenteerd of niet gekoppeld is aan een organisatiebreed model, ontstaan risico’s zoals:
- verschillende interpretaties van metadata;
- beperkte uitwisselbaarheid tussen systemen;
- verlies van context bij migratie;
- inconsistente classificatie;
- onduidelijkheid over verplichte metadata of bewaartermijnen.
Deze vraag richt zich daarmee niet alleen op documentatie, maar ook op de mate waarin metadata structureel aansluiten op organisatiebrede afspraken en standaarden.</t>
  </si>
  <si>
    <t>Deze tabel laat zien welke DUTO-functies op basis van de huidige volwassenheid en impact als eerste aandacht vragen. De prioriteitsscore combineert de resterende ontwikkelopgave met de impact van de betreffende functie. Een lage volwassenheid in combinatie met een hoge impact leidt tot een hogere prioriteit.</t>
  </si>
  <si>
    <t>Kan een gemaskeerde versie van een informatieobject worden gemaakt waarbij gevoelige informatie wordt afgeschermd, het origineel intact blijft en metagegevens over de maskering worden vastgelegd?</t>
  </si>
  <si>
    <t>Kan een uittreksel van een informatieobject worden gemaakt waarbij informatie wordt verwijderd, het origineel intact blijft en metagegevens over het maken van het uittreksel worden vastgelegd?</t>
  </si>
  <si>
    <t>T06, T07</t>
  </si>
  <si>
    <t>Kunnen informatieobjecten digitaal toegankelijk beschikbaar worden gesteld conform geldende wet- en regelgeving, ook wanneer hiervoor websites of mobiele applicaties worden gebruikt?</t>
  </si>
  <si>
    <t>kwetsbaarheid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</si>
</sst>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Calibri"/>
      <family val="2"/>
      <scheme val="minor"/>
    </font>
    <font>
      <b/>
      <sz val="11"/>
      <name val="Calibri"/>
      <family val="2"/>
    </font>
    <font>
      <b/>
      <sz val="11"/>
      <color theme="1"/>
      <name val="Calibri"/>
      <family val="2"/>
      <scheme val="minor"/>
    </font>
    <font>
      <u/>
      <sz val="11"/>
      <color theme="10"/>
      <name val="Calibri"/>
      <family val="2"/>
      <scheme val="minor"/>
    </font>
    <font>
      <b/>
      <sz val="10"/>
      <color theme="1"/>
      <name val="Verdana"/>
      <family val="2"/>
    </font>
    <font>
      <sz val="11"/>
      <color theme="1"/>
      <name val="Verdana"/>
      <family val="2"/>
    </font>
    <font>
      <b/>
      <sz val="11"/>
      <name val="Verdana"/>
      <family val="2"/>
    </font>
    <font>
      <sz val="10"/>
      <color theme="1"/>
      <name val="Verdana"/>
      <family val="2"/>
    </font>
    <font>
      <b/>
      <sz val="10"/>
      <color theme="0"/>
      <name val="Verdana"/>
      <family val="2"/>
    </font>
    <font>
      <i/>
      <sz val="10"/>
      <color theme="1"/>
      <name val="Verdana"/>
      <family val="2"/>
    </font>
    <font>
      <sz val="10"/>
      <color theme="1"/>
      <name val="Arial Unicode MS"/>
    </font>
    <font>
      <b/>
      <sz val="11"/>
      <color theme="1"/>
      <name val="Verdana"/>
      <family val="2"/>
    </font>
    <font>
      <i/>
      <sz val="11"/>
      <color theme="1"/>
      <name val="Verdana"/>
      <family val="2"/>
    </font>
    <font>
      <sz val="11"/>
      <name val="Verdana"/>
      <family val="2"/>
    </font>
    <font>
      <b/>
      <sz val="9"/>
      <color theme="1"/>
      <name val="Verdana"/>
      <family val="2"/>
    </font>
    <font>
      <sz val="9"/>
      <color theme="1"/>
      <name val="Verdana"/>
      <family val="2"/>
    </font>
    <font>
      <sz val="11"/>
      <color theme="1"/>
      <name val="Calibri"/>
      <family val="2"/>
      <scheme val="minor"/>
    </font>
    <font>
      <b/>
      <sz val="10.5"/>
      <color theme="0"/>
      <name val="Verdana"/>
      <family val="2"/>
    </font>
    <font>
      <sz val="10.5"/>
      <color theme="0"/>
      <name val="Verdana"/>
      <family val="2"/>
    </font>
    <font>
      <b/>
      <i/>
      <sz val="9"/>
      <color theme="1"/>
      <name val="Verdana"/>
      <family val="2"/>
    </font>
    <font>
      <sz val="9"/>
      <color theme="1"/>
      <name val="Calibri"/>
      <family val="2"/>
      <scheme val="minor"/>
    </font>
    <font>
      <sz val="8"/>
      <color theme="1"/>
      <name val="Verdana"/>
      <family val="2"/>
    </font>
    <font>
      <i/>
      <sz val="10.5"/>
      <color theme="0"/>
      <name val="Verdana"/>
      <family val="2"/>
    </font>
    <font>
      <b/>
      <sz val="12"/>
      <color theme="1"/>
      <name val="Verdana"/>
      <family val="2"/>
    </font>
    <font>
      <b/>
      <sz val="10"/>
      <color theme="0" tint="-0.14999847407452621"/>
      <name val="Verdana"/>
      <family val="2"/>
    </font>
    <font>
      <sz val="10"/>
      <color theme="0" tint="-0.14999847407452621"/>
      <name val="Verdana"/>
      <family val="2"/>
    </font>
    <font>
      <b/>
      <sz val="11"/>
      <color theme="0"/>
      <name val="Calibri"/>
      <family val="2"/>
      <scheme val="minor"/>
    </font>
    <font>
      <b/>
      <sz val="11"/>
      <name val="Calibri"/>
      <family val="2"/>
      <scheme val="minor"/>
    </font>
    <font>
      <sz val="10"/>
      <color theme="1"/>
      <name val="Calibri"/>
      <family val="2"/>
      <scheme val="minor"/>
    </font>
    <font>
      <sz val="10"/>
      <name val="Calibri"/>
      <family val="2"/>
      <scheme val="minor"/>
    </font>
    <font>
      <b/>
      <sz val="14"/>
      <color theme="0"/>
      <name val="Calibri"/>
      <family val="2"/>
      <scheme val="minor"/>
    </font>
    <font>
      <sz val="11"/>
      <color theme="3"/>
      <name val="Calibri"/>
      <family val="2"/>
      <scheme val="minor"/>
    </font>
    <font>
      <b/>
      <sz val="16"/>
      <color theme="0"/>
      <name val="Calibri"/>
      <family val="2"/>
      <scheme val="minor"/>
    </font>
    <font>
      <sz val="12"/>
      <color theme="1"/>
      <name val="Calibri"/>
      <family val="2"/>
      <scheme val="minor"/>
    </font>
    <font>
      <sz val="14"/>
      <color theme="1"/>
      <name val="Calibri"/>
      <family val="2"/>
      <scheme val="minor"/>
    </font>
    <font>
      <b/>
      <sz val="14"/>
      <color theme="1"/>
      <name val="Calibri"/>
      <family val="2"/>
      <scheme val="minor"/>
    </font>
    <font>
      <b/>
      <sz val="11"/>
      <color rgb="FFFF0000"/>
      <name val="Calibri"/>
      <family val="2"/>
      <scheme val="minor"/>
    </font>
  </fonts>
  <fills count="24">
    <fill>
      <patternFill patternType="none"/>
    </fill>
    <fill>
      <patternFill patternType="gray125"/>
    </fill>
    <fill>
      <patternFill patternType="solid">
        <fgColor theme="4"/>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3" tint="0.89999084444715716"/>
        <bgColor indexed="64"/>
      </patternFill>
    </fill>
    <fill>
      <patternFill patternType="solid">
        <fgColor rgb="FFFFFFCC"/>
        <bgColor indexed="64"/>
      </patternFill>
    </fill>
    <fill>
      <patternFill patternType="solid">
        <fgColor theme="4" tint="0.79998168889431442"/>
        <bgColor indexed="64"/>
      </patternFill>
    </fill>
    <fill>
      <patternFill patternType="solid">
        <fgColor theme="5" tint="0.39997558519241921"/>
        <bgColor indexed="64"/>
      </patternFill>
    </fill>
    <fill>
      <patternFill patternType="solid">
        <fgColor rgb="FFFFCC66"/>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F0000"/>
        <bgColor indexed="64"/>
      </patternFill>
    </fill>
    <fill>
      <patternFill patternType="solid">
        <fgColor rgb="FFFFC000"/>
        <bgColor indexed="64"/>
      </patternFill>
    </fill>
    <fill>
      <patternFill patternType="solid">
        <fgColor rgb="FFFFFF00"/>
        <bgColor indexed="64"/>
      </patternFill>
    </fill>
    <fill>
      <patternFill patternType="solid">
        <fgColor rgb="FF00B050"/>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3" tint="0.79998168889431442"/>
        <bgColor indexed="64"/>
      </patternFill>
    </fill>
    <fill>
      <patternFill patternType="solid">
        <fgColor rgb="FF29650B"/>
        <bgColor indexed="64"/>
      </patternFill>
    </fill>
    <fill>
      <patternFill patternType="solid">
        <fgColor rgb="FFD6F7C1"/>
        <bgColor indexed="64"/>
      </patternFill>
    </fill>
    <fill>
      <patternFill patternType="solid">
        <fgColor theme="9" tint="0.79998168889431442"/>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right/>
      <top style="thin">
        <color theme="6" tint="0.39997558519241921"/>
      </top>
      <bottom style="thin">
        <color theme="6" tint="0.39997558519241921"/>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s>
  <cellStyleXfs count="3">
    <xf numFmtId="0" fontId="0" fillId="0" borderId="0"/>
    <xf numFmtId="0" fontId="3" fillId="0" borderId="0" applyNumberFormat="0" applyFill="0" applyBorder="0" applyAlignment="0" applyProtection="0"/>
    <xf numFmtId="9" fontId="16" fillId="0" borderId="0" applyFont="0" applyFill="0" applyBorder="0" applyAlignment="0" applyProtection="0"/>
  </cellStyleXfs>
  <cellXfs count="473">
    <xf numFmtId="0" fontId="0" fillId="0" borderId="0" xfId="0"/>
    <xf numFmtId="0" fontId="1" fillId="0" borderId="0" xfId="0" applyFont="1"/>
    <xf numFmtId="0" fontId="0" fillId="0" borderId="0" xfId="0" applyAlignment="1">
      <alignment wrapText="1"/>
    </xf>
    <xf numFmtId="0" fontId="0" fillId="0" borderId="0" xfId="0" applyAlignment="1">
      <alignment vertical="top"/>
    </xf>
    <xf numFmtId="0" fontId="0" fillId="0" borderId="0" xfId="0" applyAlignment="1">
      <alignment vertical="top" wrapText="1"/>
    </xf>
    <xf numFmtId="0" fontId="5" fillId="0" borderId="0" xfId="0" applyFont="1" applyAlignment="1">
      <alignment horizontal="left" vertical="top"/>
    </xf>
    <xf numFmtId="0" fontId="2" fillId="0" borderId="0" xfId="0" applyFont="1"/>
    <xf numFmtId="0" fontId="0" fillId="0" borderId="0" xfId="0" applyAlignment="1">
      <alignment vertical="center" wrapText="1"/>
    </xf>
    <xf numFmtId="0" fontId="6" fillId="0" borderId="0" xfId="0" applyFont="1" applyAlignment="1">
      <alignment horizontal="left" vertical="top"/>
    </xf>
    <xf numFmtId="0" fontId="6" fillId="0" borderId="0" xfId="0" applyFont="1" applyAlignment="1">
      <alignment horizontal="left" vertical="top" wrapText="1"/>
    </xf>
    <xf numFmtId="0" fontId="5" fillId="0" borderId="0" xfId="0" applyFont="1" applyAlignment="1">
      <alignment horizontal="left" vertical="top" wrapText="1"/>
    </xf>
    <xf numFmtId="0" fontId="4" fillId="0" borderId="0" xfId="0" applyFont="1" applyAlignment="1">
      <alignment vertical="top" wrapText="1"/>
    </xf>
    <xf numFmtId="0" fontId="7" fillId="0" borderId="0" xfId="0" applyFont="1" applyAlignment="1">
      <alignment horizontal="left" vertical="top" wrapText="1"/>
    </xf>
    <xf numFmtId="0" fontId="8" fillId="0" borderId="0" xfId="0" applyFont="1" applyAlignment="1">
      <alignment vertical="top" wrapText="1"/>
    </xf>
    <xf numFmtId="0" fontId="8" fillId="0" borderId="0" xfId="0" applyFont="1" applyAlignment="1">
      <alignment vertical="center" wrapText="1"/>
    </xf>
    <xf numFmtId="0" fontId="7" fillId="0" borderId="0" xfId="0" applyFont="1" applyAlignment="1">
      <alignment vertical="top" wrapText="1"/>
    </xf>
    <xf numFmtId="0" fontId="3" fillId="0" borderId="0" xfId="1" applyAlignment="1">
      <alignment vertical="center" wrapText="1"/>
    </xf>
    <xf numFmtId="0" fontId="7" fillId="0" borderId="0" xfId="0" applyFont="1" applyAlignment="1">
      <alignment vertical="center" wrapText="1"/>
    </xf>
    <xf numFmtId="0" fontId="3" fillId="0" borderId="0" xfId="1" applyAlignment="1">
      <alignment vertical="top"/>
    </xf>
    <xf numFmtId="0" fontId="3" fillId="0" borderId="0" xfId="1" applyAlignment="1">
      <alignment vertical="top" wrapText="1"/>
    </xf>
    <xf numFmtId="0" fontId="3" fillId="0" borderId="0" xfId="1"/>
    <xf numFmtId="0" fontId="0" fillId="0" borderId="2" xfId="0" applyFont="1" applyFill="1" applyBorder="1" applyAlignment="1">
      <alignment vertical="top" wrapText="1"/>
    </xf>
    <xf numFmtId="0" fontId="5" fillId="0" borderId="2" xfId="0" applyFont="1" applyFill="1" applyBorder="1" applyAlignment="1">
      <alignment vertical="top" wrapText="1"/>
    </xf>
    <xf numFmtId="0" fontId="11" fillId="0" borderId="0" xfId="0" applyFont="1" applyAlignment="1">
      <alignment vertical="top" textRotation="45"/>
    </xf>
    <xf numFmtId="0" fontId="11" fillId="0" borderId="0" xfId="0" applyFont="1" applyAlignment="1">
      <alignment vertical="top"/>
    </xf>
    <xf numFmtId="0" fontId="11" fillId="5" borderId="3" xfId="0" applyFont="1" applyFill="1" applyBorder="1" applyAlignment="1">
      <alignment vertical="top"/>
    </xf>
    <xf numFmtId="0" fontId="12" fillId="0" borderId="5" xfId="0" applyFont="1" applyBorder="1" applyAlignment="1">
      <alignment vertical="top" wrapText="1"/>
    </xf>
    <xf numFmtId="0" fontId="5" fillId="0" borderId="1" xfId="0" applyFont="1" applyBorder="1" applyAlignment="1">
      <alignment vertical="top" wrapText="1"/>
    </xf>
    <xf numFmtId="0" fontId="13" fillId="0" borderId="1" xfId="0" applyFont="1" applyBorder="1" applyAlignment="1">
      <alignment vertical="top" wrapText="1"/>
    </xf>
    <xf numFmtId="0" fontId="5" fillId="0" borderId="0" xfId="0" applyFont="1" applyAlignment="1">
      <alignment vertical="top"/>
    </xf>
    <xf numFmtId="0" fontId="5" fillId="0" borderId="0" xfId="0" applyFont="1" applyAlignment="1">
      <alignment vertical="top" textRotation="45"/>
    </xf>
    <xf numFmtId="0" fontId="5" fillId="0" borderId="1" xfId="0" applyFont="1" applyBorder="1" applyAlignment="1">
      <alignment vertical="top"/>
    </xf>
    <xf numFmtId="0" fontId="11" fillId="5" borderId="3" xfId="0" applyFont="1" applyFill="1" applyBorder="1" applyAlignment="1">
      <alignment vertical="top" wrapText="1"/>
    </xf>
    <xf numFmtId="0" fontId="11" fillId="0" borderId="4" xfId="0" applyFont="1" applyBorder="1" applyAlignment="1">
      <alignment vertical="top"/>
    </xf>
    <xf numFmtId="0" fontId="5" fillId="0" borderId="3" xfId="0" applyFont="1" applyBorder="1" applyAlignment="1">
      <alignment vertical="top" wrapText="1"/>
    </xf>
    <xf numFmtId="0" fontId="11" fillId="7" borderId="3" xfId="0" applyFont="1" applyFill="1" applyBorder="1" applyAlignment="1">
      <alignment vertical="top" textRotation="45"/>
    </xf>
    <xf numFmtId="0" fontId="11" fillId="7" borderId="5" xfId="0" applyFont="1" applyFill="1" applyBorder="1" applyAlignment="1">
      <alignment vertical="top" textRotation="45"/>
    </xf>
    <xf numFmtId="0" fontId="11" fillId="7" borderId="1" xfId="0" applyFont="1" applyFill="1" applyBorder="1" applyAlignment="1">
      <alignment vertical="top" textRotation="45"/>
    </xf>
    <xf numFmtId="0" fontId="11" fillId="7" borderId="1" xfId="0" applyFont="1" applyFill="1" applyBorder="1" applyAlignment="1">
      <alignment vertical="top" textRotation="45" shrinkToFit="1"/>
    </xf>
    <xf numFmtId="0" fontId="11" fillId="7" borderId="1" xfId="0" applyFont="1" applyFill="1" applyBorder="1" applyAlignment="1">
      <alignment horizontal="left" vertical="top" textRotation="45" shrinkToFit="1"/>
    </xf>
    <xf numFmtId="0" fontId="5" fillId="0" borderId="0" xfId="0" applyFont="1"/>
    <xf numFmtId="0" fontId="5" fillId="0" borderId="0" xfId="0" applyFont="1" applyFill="1" applyAlignment="1">
      <alignment horizontal="left" vertical="top"/>
    </xf>
    <xf numFmtId="0" fontId="17" fillId="2" borderId="1" xfId="0" applyFont="1" applyFill="1" applyBorder="1" applyAlignment="1">
      <alignment horizontal="left" vertical="top"/>
    </xf>
    <xf numFmtId="0" fontId="17" fillId="2" borderId="1" xfId="0" applyFont="1" applyFill="1" applyBorder="1" applyAlignment="1">
      <alignment horizontal="left" vertical="top" wrapText="1"/>
    </xf>
    <xf numFmtId="0" fontId="18" fillId="2" borderId="0" xfId="0" applyFont="1" applyFill="1" applyAlignment="1">
      <alignment horizontal="left" vertical="top"/>
    </xf>
    <xf numFmtId="0" fontId="15" fillId="0" borderId="0" xfId="0" applyFont="1" applyAlignment="1">
      <alignment horizontal="left" vertical="top"/>
    </xf>
    <xf numFmtId="0" fontId="15" fillId="0" borderId="1" xfId="0" applyFont="1" applyBorder="1" applyAlignment="1">
      <alignment horizontal="left" vertical="top"/>
    </xf>
    <xf numFmtId="0" fontId="15" fillId="0" borderId="1" xfId="0" applyFont="1" applyBorder="1" applyAlignment="1">
      <alignment horizontal="left" vertical="top" wrapText="1"/>
    </xf>
    <xf numFmtId="0" fontId="15" fillId="4" borderId="0" xfId="0" applyFont="1" applyFill="1" applyAlignment="1">
      <alignment horizontal="left" vertical="top"/>
    </xf>
    <xf numFmtId="0" fontId="15" fillId="4" borderId="0" xfId="0" applyFont="1" applyFill="1" applyAlignment="1">
      <alignment horizontal="left" vertical="top" wrapText="1"/>
    </xf>
    <xf numFmtId="0" fontId="15" fillId="0" borderId="1" xfId="0" applyFont="1" applyBorder="1" applyAlignment="1">
      <alignment vertical="top" wrapText="1"/>
    </xf>
    <xf numFmtId="0" fontId="15" fillId="0" borderId="1" xfId="0" applyFont="1" applyFill="1" applyBorder="1" applyAlignment="1">
      <alignment vertical="top" wrapText="1"/>
    </xf>
    <xf numFmtId="0" fontId="15" fillId="0" borderId="1" xfId="0" applyFont="1" applyBorder="1" applyAlignment="1">
      <alignment wrapText="1"/>
    </xf>
    <xf numFmtId="0" fontId="10" fillId="0" borderId="0" xfId="0" applyFont="1" applyAlignment="1">
      <alignment vertical="center" wrapText="1"/>
    </xf>
    <xf numFmtId="0" fontId="6" fillId="0" borderId="0" xfId="0" applyFont="1"/>
    <xf numFmtId="0" fontId="11" fillId="0" borderId="0" xfId="0" applyFont="1"/>
    <xf numFmtId="0" fontId="5" fillId="0" borderId="0" xfId="0" applyFont="1" applyAlignment="1">
      <alignment horizontal="center"/>
    </xf>
    <xf numFmtId="0" fontId="5" fillId="0" borderId="0" xfId="0" applyFont="1" applyAlignment="1">
      <alignment vertical="center" wrapText="1"/>
    </xf>
    <xf numFmtId="0" fontId="5" fillId="0" borderId="0" xfId="0" applyFont="1" applyAlignment="1">
      <alignment horizontal="center" vertical="center"/>
    </xf>
    <xf numFmtId="0" fontId="11" fillId="0" borderId="0" xfId="0" applyFont="1" applyAlignment="1">
      <alignment horizontal="center"/>
    </xf>
    <xf numFmtId="0" fontId="11" fillId="0" borderId="0" xfId="0" applyFont="1" applyAlignment="1">
      <alignment horizontal="center" vertical="center" wrapText="1"/>
    </xf>
    <xf numFmtId="9" fontId="5" fillId="0" borderId="0" xfId="0" applyNumberFormat="1" applyFont="1" applyAlignment="1">
      <alignment horizontal="right" vertical="center" wrapText="1"/>
    </xf>
    <xf numFmtId="9" fontId="0" fillId="0" borderId="0" xfId="2" applyFont="1"/>
    <xf numFmtId="0" fontId="5" fillId="0" borderId="0" xfId="0" applyFont="1" applyFill="1"/>
    <xf numFmtId="0" fontId="11" fillId="0" borderId="0" xfId="0" applyFont="1" applyFill="1"/>
    <xf numFmtId="0" fontId="17" fillId="2" borderId="1" xfId="0" applyFont="1" applyFill="1" applyBorder="1" applyAlignment="1">
      <alignment horizontal="right" vertical="top"/>
    </xf>
    <xf numFmtId="0" fontId="6" fillId="0" borderId="0" xfId="0" applyFont="1" applyAlignment="1">
      <alignment horizontal="right" vertical="top"/>
    </xf>
    <xf numFmtId="0" fontId="15" fillId="4" borderId="0" xfId="0" applyFont="1" applyFill="1" applyAlignment="1">
      <alignment horizontal="right" vertical="top"/>
    </xf>
    <xf numFmtId="0" fontId="5" fillId="0" borderId="0" xfId="0" applyFont="1" applyAlignment="1">
      <alignment horizontal="right" vertical="top"/>
    </xf>
    <xf numFmtId="0" fontId="7" fillId="0" borderId="0" xfId="0" applyFont="1" applyFill="1" applyAlignment="1">
      <alignment vertical="top" wrapText="1"/>
    </xf>
    <xf numFmtId="9" fontId="5" fillId="0" borderId="0" xfId="2" applyFont="1"/>
    <xf numFmtId="9" fontId="5" fillId="0" borderId="0" xfId="2" applyFont="1" applyAlignment="1">
      <alignment vertical="center" wrapText="1"/>
    </xf>
    <xf numFmtId="0" fontId="21" fillId="0" borderId="0" xfId="0" applyFont="1" applyFill="1" applyBorder="1" applyAlignment="1">
      <alignment vertical="top" wrapText="1"/>
    </xf>
    <xf numFmtId="0" fontId="5" fillId="0" borderId="0" xfId="0" applyFont="1" applyFill="1" applyBorder="1" applyAlignment="1">
      <alignment vertical="top" wrapText="1"/>
    </xf>
    <xf numFmtId="0" fontId="5" fillId="0" borderId="0" xfId="0" applyFont="1" applyBorder="1"/>
    <xf numFmtId="0" fontId="5" fillId="0" borderId="0" xfId="0" applyFont="1" applyBorder="1" applyAlignment="1">
      <alignment vertical="top" wrapText="1"/>
    </xf>
    <xf numFmtId="0" fontId="0" fillId="0" borderId="1" xfId="0" applyBorder="1"/>
    <xf numFmtId="0" fontId="11" fillId="7" borderId="1" xfId="0" applyNumberFormat="1" applyFont="1" applyFill="1" applyBorder="1" applyAlignment="1">
      <alignment vertical="top" textRotation="45"/>
    </xf>
    <xf numFmtId="0" fontId="0" fillId="0" borderId="0" xfId="0" applyNumberFormat="1"/>
    <xf numFmtId="0" fontId="5" fillId="0" borderId="1" xfId="0" applyNumberFormat="1" applyFont="1" applyBorder="1" applyAlignment="1">
      <alignment vertical="top"/>
    </xf>
    <xf numFmtId="0" fontId="5" fillId="0" borderId="0" xfId="0" applyFont="1" applyFill="1" applyBorder="1" applyAlignment="1">
      <alignment vertical="center" wrapText="1"/>
    </xf>
    <xf numFmtId="0" fontId="5" fillId="0" borderId="0" xfId="0" applyFont="1" applyFill="1" applyBorder="1"/>
    <xf numFmtId="0" fontId="5" fillId="0" borderId="0" xfId="0" applyFont="1" applyFill="1" applyBorder="1" applyAlignment="1">
      <alignment horizontal="left" vertical="top"/>
    </xf>
    <xf numFmtId="0" fontId="5" fillId="0" borderId="0" xfId="0" applyFont="1" applyFill="1" applyBorder="1" applyAlignment="1">
      <alignment horizontal="left" vertical="top" wrapText="1"/>
    </xf>
    <xf numFmtId="0" fontId="11" fillId="0" borderId="0" xfId="0" applyFont="1" applyFill="1" applyBorder="1" applyAlignment="1">
      <alignment horizontal="center" vertical="center" wrapText="1"/>
    </xf>
    <xf numFmtId="0" fontId="5" fillId="7" borderId="0" xfId="0" applyFont="1" applyFill="1"/>
    <xf numFmtId="0" fontId="5" fillId="7" borderId="0" xfId="0" applyFont="1" applyFill="1" applyAlignment="1">
      <alignment horizontal="center"/>
    </xf>
    <xf numFmtId="0" fontId="11" fillId="0" borderId="2" xfId="0" applyFont="1" applyFill="1" applyBorder="1" applyAlignment="1">
      <alignment vertical="top" wrapText="1"/>
    </xf>
    <xf numFmtId="0" fontId="11" fillId="0" borderId="0" xfId="0" applyFont="1" applyFill="1" applyBorder="1" applyAlignment="1">
      <alignment vertical="top" wrapText="1"/>
    </xf>
    <xf numFmtId="0" fontId="11" fillId="7" borderId="1" xfId="0" applyFont="1" applyFill="1" applyBorder="1" applyAlignment="1">
      <alignment vertical="top" textRotation="45" wrapText="1" shrinkToFit="1"/>
    </xf>
    <xf numFmtId="0" fontId="11" fillId="7" borderId="3" xfId="0" applyFont="1" applyFill="1" applyBorder="1" applyAlignment="1">
      <alignment vertical="top" textRotation="45" wrapText="1" shrinkToFit="1"/>
    </xf>
    <xf numFmtId="0" fontId="11" fillId="0" borderId="0" xfId="0" applyFont="1" applyFill="1" applyBorder="1" applyAlignment="1">
      <alignment vertical="top"/>
    </xf>
    <xf numFmtId="0" fontId="5" fillId="0" borderId="0" xfId="0" applyFont="1" applyFill="1" applyAlignment="1">
      <alignment vertical="top"/>
    </xf>
    <xf numFmtId="0" fontId="5" fillId="0" borderId="0" xfId="0" applyFont="1" applyFill="1" applyBorder="1" applyAlignment="1">
      <alignment vertical="top"/>
    </xf>
    <xf numFmtId="0" fontId="11" fillId="0" borderId="0" xfId="0" applyFont="1" applyFill="1" applyBorder="1" applyAlignment="1">
      <alignment vertical="top" textRotation="45"/>
    </xf>
    <xf numFmtId="0" fontId="5" fillId="0" borderId="0" xfId="0" applyFont="1" applyFill="1" applyBorder="1" applyAlignment="1">
      <alignment vertical="top" textRotation="45"/>
    </xf>
    <xf numFmtId="0" fontId="11" fillId="10" borderId="1" xfId="0" applyFont="1" applyFill="1" applyBorder="1" applyAlignment="1">
      <alignment vertical="top"/>
    </xf>
    <xf numFmtId="0" fontId="11" fillId="10" borderId="1" xfId="0" applyFont="1" applyFill="1" applyBorder="1" applyAlignment="1">
      <alignment vertical="top" shrinkToFit="1"/>
    </xf>
    <xf numFmtId="0" fontId="11" fillId="10" borderId="1" xfId="0" applyFont="1" applyFill="1" applyBorder="1" applyAlignment="1">
      <alignment vertical="top" wrapText="1" shrinkToFit="1"/>
    </xf>
    <xf numFmtId="0" fontId="11" fillId="11" borderId="1" xfId="0" applyFont="1" applyFill="1" applyBorder="1" applyAlignment="1">
      <alignment vertical="top"/>
    </xf>
    <xf numFmtId="0" fontId="11" fillId="11" borderId="15" xfId="0" applyFont="1" applyFill="1" applyBorder="1" applyAlignment="1">
      <alignment vertical="top"/>
    </xf>
    <xf numFmtId="0" fontId="11" fillId="11" borderId="1" xfId="0" applyFont="1" applyFill="1" applyBorder="1" applyAlignment="1">
      <alignment vertical="top" wrapText="1"/>
    </xf>
    <xf numFmtId="0" fontId="11" fillId="12" borderId="1" xfId="0" applyFont="1" applyFill="1" applyBorder="1" applyAlignment="1">
      <alignment vertical="top" wrapText="1"/>
    </xf>
    <xf numFmtId="0" fontId="6" fillId="8" borderId="1" xfId="0" applyFont="1" applyFill="1" applyBorder="1" applyAlignment="1">
      <alignment vertical="top" wrapText="1"/>
    </xf>
    <xf numFmtId="0" fontId="11" fillId="8" borderId="1" xfId="0" applyFont="1" applyFill="1" applyBorder="1" applyAlignment="1">
      <alignment vertical="top" wrapText="1"/>
    </xf>
    <xf numFmtId="0" fontId="11" fillId="8" borderId="3" xfId="0" applyFont="1" applyFill="1" applyBorder="1" applyAlignment="1">
      <alignment vertical="top" wrapText="1"/>
    </xf>
    <xf numFmtId="0" fontId="11" fillId="8" borderId="15" xfId="0" applyFont="1" applyFill="1" applyBorder="1" applyAlignment="1">
      <alignment vertical="top" wrapText="1"/>
    </xf>
    <xf numFmtId="0" fontId="11" fillId="12" borderId="15" xfId="0" applyFont="1" applyFill="1" applyBorder="1" applyAlignment="1">
      <alignment vertical="top" wrapText="1"/>
    </xf>
    <xf numFmtId="0" fontId="11" fillId="12" borderId="3" xfId="0" applyFont="1" applyFill="1" applyBorder="1" applyAlignment="1">
      <alignment vertical="top" wrapText="1"/>
    </xf>
    <xf numFmtId="0" fontId="11" fillId="12" borderId="1" xfId="0" applyFont="1" applyFill="1" applyBorder="1" applyAlignment="1">
      <alignment vertical="top"/>
    </xf>
    <xf numFmtId="0" fontId="11" fillId="17" borderId="15" xfId="0" applyFont="1" applyFill="1" applyBorder="1" applyAlignment="1">
      <alignment vertical="top"/>
    </xf>
    <xf numFmtId="0" fontId="5" fillId="8" borderId="1" xfId="0" applyFont="1" applyFill="1" applyBorder="1" applyAlignment="1">
      <alignment vertical="top"/>
    </xf>
    <xf numFmtId="0" fontId="5" fillId="12" borderId="1" xfId="0" applyFont="1" applyFill="1" applyBorder="1" applyAlignment="1">
      <alignment vertical="top"/>
    </xf>
    <xf numFmtId="0" fontId="5" fillId="17" borderId="1" xfId="0" applyFont="1" applyFill="1" applyBorder="1" applyAlignment="1">
      <alignment vertical="top"/>
    </xf>
    <xf numFmtId="0" fontId="5" fillId="18" borderId="1" xfId="0" applyFont="1" applyFill="1" applyBorder="1" applyAlignment="1">
      <alignment vertical="top"/>
    </xf>
    <xf numFmtId="0" fontId="5" fillId="9" borderId="1" xfId="0" applyFont="1" applyFill="1" applyBorder="1" applyAlignment="1">
      <alignment vertical="top"/>
    </xf>
    <xf numFmtId="0" fontId="5" fillId="6" borderId="1" xfId="0" applyFont="1" applyFill="1" applyBorder="1" applyAlignment="1">
      <alignment vertical="top"/>
    </xf>
    <xf numFmtId="0" fontId="5" fillId="3" borderId="1" xfId="0" applyFont="1" applyFill="1" applyBorder="1" applyAlignment="1">
      <alignment vertical="top"/>
    </xf>
    <xf numFmtId="0" fontId="12" fillId="7" borderId="1" xfId="0" applyFont="1" applyFill="1" applyBorder="1" applyAlignment="1">
      <alignment vertical="top" wrapText="1"/>
    </xf>
    <xf numFmtId="0" fontId="12" fillId="7" borderId="16" xfId="0" applyFont="1" applyFill="1" applyBorder="1" applyAlignment="1">
      <alignment vertical="top" wrapText="1"/>
    </xf>
    <xf numFmtId="0" fontId="12" fillId="7" borderId="5" xfId="0" applyFont="1" applyFill="1" applyBorder="1" applyAlignment="1">
      <alignment vertical="top" wrapText="1"/>
    </xf>
    <xf numFmtId="0" fontId="11" fillId="7" borderId="1" xfId="0" applyFont="1" applyFill="1" applyBorder="1" applyAlignment="1">
      <alignment vertical="top"/>
    </xf>
    <xf numFmtId="0" fontId="5" fillId="7" borderId="0" xfId="0" applyFont="1" applyFill="1" applyAlignment="1">
      <alignment vertical="center" wrapText="1"/>
    </xf>
    <xf numFmtId="0" fontId="5" fillId="0" borderId="0" xfId="0" applyFont="1" applyFill="1" applyBorder="1" applyAlignment="1">
      <alignment vertical="top" shrinkToFit="1"/>
    </xf>
    <xf numFmtId="0" fontId="5" fillId="0" borderId="0" xfId="0" applyFont="1" applyFill="1" applyBorder="1" applyAlignment="1">
      <alignment vertical="top" wrapText="1" shrinkToFit="1"/>
    </xf>
    <xf numFmtId="0" fontId="5" fillId="12" borderId="0" xfId="0" applyFont="1" applyFill="1"/>
    <xf numFmtId="9" fontId="11" fillId="0" borderId="0" xfId="2" applyFont="1"/>
    <xf numFmtId="0" fontId="5" fillId="0" borderId="1" xfId="0" applyFont="1" applyFill="1" applyBorder="1" applyAlignment="1">
      <alignment horizontal="center" vertical="top" wrapText="1"/>
    </xf>
    <xf numFmtId="10" fontId="0" fillId="0" borderId="0" xfId="0" applyNumberFormat="1"/>
    <xf numFmtId="0" fontId="11" fillId="2" borderId="1" xfId="0" applyFont="1" applyFill="1" applyBorder="1" applyAlignment="1">
      <alignment horizontal="center" vertical="top" wrapText="1"/>
    </xf>
    <xf numFmtId="0" fontId="11" fillId="2" borderId="1" xfId="0" applyFont="1" applyFill="1" applyBorder="1" applyAlignment="1">
      <alignment horizontal="left" vertical="top" wrapText="1"/>
    </xf>
    <xf numFmtId="0" fontId="21" fillId="4" borderId="0" xfId="0" applyFont="1" applyFill="1" applyBorder="1" applyAlignment="1">
      <alignment vertical="top" wrapText="1"/>
    </xf>
    <xf numFmtId="0" fontId="7" fillId="4" borderId="0" xfId="0" applyFont="1" applyFill="1" applyBorder="1" applyAlignment="1">
      <alignment vertical="top" wrapText="1"/>
    </xf>
    <xf numFmtId="0" fontId="15" fillId="4" borderId="0" xfId="0" applyFont="1" applyFill="1" applyBorder="1" applyAlignment="1">
      <alignment vertical="top" wrapText="1"/>
    </xf>
    <xf numFmtId="0" fontId="5" fillId="4" borderId="7" xfId="0" applyFont="1" applyFill="1" applyBorder="1"/>
    <xf numFmtId="0" fontId="5" fillId="4" borderId="8" xfId="0" applyFont="1" applyFill="1" applyBorder="1"/>
    <xf numFmtId="0" fontId="5" fillId="4" borderId="0" xfId="0" applyFont="1" applyFill="1" applyBorder="1"/>
    <xf numFmtId="0" fontId="5" fillId="4" borderId="19" xfId="0" applyFont="1" applyFill="1" applyBorder="1"/>
    <xf numFmtId="0" fontId="5" fillId="4" borderId="10" xfId="0" applyFont="1" applyFill="1" applyBorder="1"/>
    <xf numFmtId="0" fontId="5" fillId="4" borderId="11" xfId="0" applyFont="1" applyFill="1" applyBorder="1"/>
    <xf numFmtId="0" fontId="5" fillId="4" borderId="1" xfId="0" applyFont="1" applyFill="1" applyBorder="1"/>
    <xf numFmtId="0" fontId="7" fillId="19" borderId="1" xfId="0" applyFont="1" applyFill="1" applyBorder="1"/>
    <xf numFmtId="0" fontId="15" fillId="19" borderId="1" xfId="0" applyFont="1" applyFill="1" applyBorder="1" applyAlignment="1">
      <alignment horizontal="left" vertical="top" wrapText="1"/>
    </xf>
    <xf numFmtId="0" fontId="20" fillId="0" borderId="1" xfId="0" applyFont="1" applyFill="1" applyBorder="1"/>
    <xf numFmtId="0" fontId="11" fillId="2" borderId="12" xfId="0" applyFont="1" applyFill="1" applyBorder="1" applyAlignment="1"/>
    <xf numFmtId="0" fontId="11" fillId="2" borderId="12" xfId="0" applyFont="1" applyFill="1" applyBorder="1" applyAlignment="1">
      <alignment horizontal="left"/>
    </xf>
    <xf numFmtId="0" fontId="11" fillId="2" borderId="12" xfId="0" applyFont="1" applyFill="1" applyBorder="1" applyAlignment="1">
      <alignment horizontal="left" vertical="top"/>
    </xf>
    <xf numFmtId="0" fontId="5" fillId="4" borderId="0" xfId="0" applyFont="1" applyFill="1" applyBorder="1" applyAlignment="1">
      <alignment horizontal="left" vertical="top"/>
    </xf>
    <xf numFmtId="0" fontId="15" fillId="4" borderId="0" xfId="0" applyFont="1" applyFill="1" applyBorder="1" applyAlignment="1">
      <alignment horizontal="left" vertical="top"/>
    </xf>
    <xf numFmtId="0" fontId="15" fillId="4" borderId="19" xfId="0" applyFont="1" applyFill="1" applyBorder="1" applyAlignment="1">
      <alignment horizontal="left" vertical="top"/>
    </xf>
    <xf numFmtId="0" fontId="0" fillId="4" borderId="0" xfId="0" applyFill="1" applyBorder="1"/>
    <xf numFmtId="0" fontId="0" fillId="4" borderId="19" xfId="0" applyFill="1" applyBorder="1"/>
    <xf numFmtId="0" fontId="7" fillId="20" borderId="0" xfId="0" applyFont="1" applyFill="1" applyBorder="1" applyAlignment="1">
      <alignment horizontal="center" vertical="top" wrapText="1"/>
    </xf>
    <xf numFmtId="0" fontId="5" fillId="20" borderId="0" xfId="0" applyFont="1" applyFill="1"/>
    <xf numFmtId="10" fontId="15" fillId="19" borderId="1" xfId="0" applyNumberFormat="1" applyFont="1" applyFill="1" applyBorder="1" applyAlignment="1">
      <alignment horizontal="center" vertical="top" wrapText="1"/>
    </xf>
    <xf numFmtId="0" fontId="0" fillId="19" borderId="1" xfId="0" applyFill="1" applyBorder="1"/>
    <xf numFmtId="0" fontId="15" fillId="19" borderId="1" xfId="0" applyFont="1" applyFill="1" applyBorder="1" applyAlignment="1">
      <alignment horizontal="center" vertical="top" wrapText="1"/>
    </xf>
    <xf numFmtId="0" fontId="5" fillId="13" borderId="1" xfId="0" applyFont="1" applyFill="1" applyBorder="1"/>
    <xf numFmtId="0" fontId="5" fillId="14" borderId="1" xfId="0" applyFont="1" applyFill="1" applyBorder="1" applyAlignment="1">
      <alignment vertical="top" wrapText="1"/>
    </xf>
    <xf numFmtId="0" fontId="5" fillId="15" borderId="1" xfId="0" applyFont="1" applyFill="1" applyBorder="1" applyAlignment="1">
      <alignment vertical="top" wrapText="1"/>
    </xf>
    <xf numFmtId="0" fontId="5" fillId="16" borderId="1" xfId="0" applyFont="1" applyFill="1" applyBorder="1" applyAlignment="1">
      <alignment vertical="top" wrapText="1"/>
    </xf>
    <xf numFmtId="0" fontId="11" fillId="20" borderId="1" xfId="0" applyFont="1" applyFill="1" applyBorder="1"/>
    <xf numFmtId="0" fontId="11" fillId="20" borderId="1" xfId="0" applyFont="1" applyFill="1" applyBorder="1" applyAlignment="1">
      <alignment horizontal="center"/>
    </xf>
    <xf numFmtId="0" fontId="4" fillId="20" borderId="0" xfId="0" applyFont="1" applyFill="1" applyBorder="1" applyAlignment="1">
      <alignment horizontal="center" vertical="top" wrapText="1"/>
    </xf>
    <xf numFmtId="0" fontId="5" fillId="19" borderId="1" xfId="0" applyFont="1" applyFill="1" applyBorder="1" applyAlignment="1">
      <alignment horizontal="left"/>
    </xf>
    <xf numFmtId="0" fontId="7" fillId="19" borderId="1" xfId="0" applyFont="1" applyFill="1" applyBorder="1" applyAlignment="1">
      <alignment horizontal="left" vertical="top" wrapText="1"/>
    </xf>
    <xf numFmtId="0" fontId="5" fillId="0" borderId="0" xfId="0" applyFont="1" applyFill="1" applyAlignment="1">
      <alignment horizontal="left"/>
    </xf>
    <xf numFmtId="0" fontId="5" fillId="20" borderId="0" xfId="0" applyFont="1" applyFill="1" applyBorder="1" applyAlignment="1">
      <alignment horizontal="center"/>
    </xf>
    <xf numFmtId="0" fontId="4" fillId="20" borderId="0" xfId="0" applyFont="1" applyFill="1" applyBorder="1" applyAlignment="1">
      <alignment horizontal="center"/>
    </xf>
    <xf numFmtId="0" fontId="4" fillId="20" borderId="0" xfId="0" applyFont="1" applyFill="1" applyBorder="1" applyAlignment="1"/>
    <xf numFmtId="0" fontId="15" fillId="0" borderId="1" xfId="0" applyFont="1" applyFill="1" applyBorder="1" applyAlignment="1">
      <alignment horizontal="left" vertical="top"/>
    </xf>
    <xf numFmtId="0" fontId="11" fillId="2" borderId="3" xfId="0" applyFont="1" applyFill="1" applyBorder="1" applyAlignment="1">
      <alignment horizontal="center" vertical="top" wrapText="1"/>
    </xf>
    <xf numFmtId="0" fontId="15" fillId="19" borderId="3" xfId="0" applyFont="1" applyFill="1" applyBorder="1" applyAlignment="1">
      <alignment horizontal="center" vertical="top" wrapText="1"/>
    </xf>
    <xf numFmtId="0" fontId="24" fillId="20" borderId="4" xfId="0" applyFont="1" applyFill="1" applyBorder="1" applyAlignment="1">
      <alignment horizontal="center" vertical="top" wrapText="1"/>
    </xf>
    <xf numFmtId="0" fontId="25" fillId="20" borderId="4" xfId="0" applyNumberFormat="1" applyFont="1" applyFill="1" applyBorder="1" applyAlignment="1">
      <alignment horizontal="center" vertical="top" wrapText="1"/>
    </xf>
    <xf numFmtId="0" fontId="15" fillId="0" borderId="3" xfId="0" applyFont="1" applyBorder="1" applyAlignment="1">
      <alignment horizontal="left" vertical="top" wrapText="1"/>
    </xf>
    <xf numFmtId="0" fontId="0" fillId="0" borderId="5" xfId="0" applyBorder="1"/>
    <xf numFmtId="0" fontId="15" fillId="7" borderId="22" xfId="0" applyFont="1" applyFill="1" applyBorder="1" applyAlignment="1">
      <alignment horizontal="left" vertical="top" wrapText="1"/>
    </xf>
    <xf numFmtId="0" fontId="15" fillId="7" borderId="23" xfId="0" applyFont="1" applyFill="1" applyBorder="1" applyAlignment="1">
      <alignment horizontal="left" vertical="top" wrapText="1"/>
    </xf>
    <xf numFmtId="0" fontId="15" fillId="7" borderId="24" xfId="0" applyFont="1" applyFill="1" applyBorder="1" applyAlignment="1">
      <alignment horizontal="left" vertical="top" wrapText="1"/>
    </xf>
    <xf numFmtId="0" fontId="0" fillId="0" borderId="3" xfId="0" applyFont="1" applyFill="1" applyBorder="1" applyAlignment="1">
      <alignment vertical="top" wrapText="1"/>
    </xf>
    <xf numFmtId="0" fontId="15" fillId="0" borderId="3" xfId="0" applyFont="1" applyFill="1" applyBorder="1" applyAlignment="1">
      <alignment horizontal="left" vertical="top" wrapText="1"/>
    </xf>
    <xf numFmtId="0" fontId="15" fillId="0" borderId="3" xfId="0" applyFont="1" applyBorder="1" applyAlignment="1">
      <alignment horizontal="left" vertical="top"/>
    </xf>
    <xf numFmtId="0" fontId="15" fillId="0" borderId="5" xfId="0" applyFont="1" applyFill="1" applyBorder="1" applyAlignment="1">
      <alignment horizontal="left" vertical="top"/>
    </xf>
    <xf numFmtId="2" fontId="15" fillId="7" borderId="22" xfId="0" applyNumberFormat="1" applyFont="1" applyFill="1" applyBorder="1" applyAlignment="1">
      <alignment horizontal="right" vertical="top"/>
    </xf>
    <xf numFmtId="2" fontId="15" fillId="7" borderId="23" xfId="0" applyNumberFormat="1" applyFont="1" applyFill="1" applyBorder="1" applyAlignment="1">
      <alignment horizontal="right" vertical="top"/>
    </xf>
    <xf numFmtId="2" fontId="15" fillId="7" borderId="24" xfId="0" applyNumberFormat="1" applyFont="1" applyFill="1" applyBorder="1" applyAlignment="1">
      <alignment horizontal="right" vertical="top"/>
    </xf>
    <xf numFmtId="0" fontId="15" fillId="0" borderId="5" xfId="0" applyFont="1" applyBorder="1" applyAlignment="1">
      <alignment horizontal="left" vertical="top"/>
    </xf>
    <xf numFmtId="0" fontId="5" fillId="4" borderId="0" xfId="0" applyFont="1" applyFill="1"/>
    <xf numFmtId="0" fontId="28" fillId="0" borderId="0" xfId="0" applyFont="1"/>
    <xf numFmtId="0" fontId="2" fillId="12" borderId="26" xfId="0" applyFont="1" applyFill="1" applyBorder="1" applyAlignment="1">
      <alignment horizontal="center"/>
    </xf>
    <xf numFmtId="0" fontId="2" fillId="12" borderId="27" xfId="0" applyFont="1" applyFill="1" applyBorder="1" applyAlignment="1">
      <alignment horizontal="center"/>
    </xf>
    <xf numFmtId="0" fontId="28" fillId="0" borderId="28" xfId="0" applyFont="1" applyBorder="1" applyAlignment="1">
      <alignment vertical="top" wrapText="1"/>
    </xf>
    <xf numFmtId="0" fontId="28" fillId="0" borderId="29" xfId="0" applyFont="1" applyBorder="1" applyAlignment="1">
      <alignment vertical="top" wrapText="1"/>
    </xf>
    <xf numFmtId="0" fontId="0" fillId="0" borderId="0" xfId="0" applyFill="1" applyBorder="1"/>
    <xf numFmtId="0" fontId="28" fillId="0" borderId="0" xfId="0" applyFont="1" applyFill="1" applyBorder="1" applyAlignment="1">
      <alignment vertical="top" wrapText="1"/>
    </xf>
    <xf numFmtId="0" fontId="2" fillId="22" borderId="26" xfId="0" applyFont="1" applyFill="1" applyBorder="1" applyAlignment="1">
      <alignment horizontal="center" vertical="center"/>
    </xf>
    <xf numFmtId="0" fontId="2" fillId="22" borderId="27" xfId="0" applyFont="1" applyFill="1" applyBorder="1" applyAlignment="1">
      <alignment horizontal="center" vertical="center"/>
    </xf>
    <xf numFmtId="0" fontId="28" fillId="0" borderId="1" xfId="0" applyFont="1" applyBorder="1" applyAlignment="1">
      <alignment vertical="top" wrapText="1"/>
    </xf>
    <xf numFmtId="0" fontId="28" fillId="0" borderId="13" xfId="0" applyFont="1" applyBorder="1" applyAlignment="1">
      <alignment vertical="top" wrapText="1"/>
    </xf>
    <xf numFmtId="0" fontId="26" fillId="0" borderId="0" xfId="0" applyFont="1" applyFill="1" applyBorder="1" applyAlignment="1">
      <alignment horizontal="center"/>
    </xf>
    <xf numFmtId="0" fontId="2" fillId="0" borderId="0" xfId="0" applyFont="1" applyFill="1" applyBorder="1" applyAlignment="1"/>
    <xf numFmtId="0" fontId="2" fillId="22" borderId="3" xfId="0" applyFont="1" applyFill="1" applyBorder="1" applyAlignment="1">
      <alignment horizontal="center"/>
    </xf>
    <xf numFmtId="0" fontId="2" fillId="22" borderId="33" xfId="0" applyFont="1" applyFill="1" applyBorder="1" applyAlignment="1">
      <alignment horizontal="center"/>
    </xf>
    <xf numFmtId="0" fontId="27" fillId="12" borderId="25" xfId="0" applyFont="1" applyFill="1" applyBorder="1" applyAlignment="1">
      <alignment horizontal="center" vertical="center"/>
    </xf>
    <xf numFmtId="0" fontId="27" fillId="12" borderId="26" xfId="0" applyFont="1" applyFill="1" applyBorder="1" applyAlignment="1">
      <alignment horizontal="center" vertical="top"/>
    </xf>
    <xf numFmtId="0" fontId="27" fillId="12" borderId="27" xfId="0" applyFont="1" applyFill="1" applyBorder="1" applyAlignment="1">
      <alignment horizontal="center" vertical="top"/>
    </xf>
    <xf numFmtId="0" fontId="11" fillId="8" borderId="17" xfId="0" applyFont="1" applyFill="1" applyBorder="1" applyAlignment="1">
      <alignment vertical="top" wrapText="1"/>
    </xf>
    <xf numFmtId="0" fontId="15" fillId="3" borderId="0" xfId="0" applyFont="1" applyFill="1" applyBorder="1" applyAlignment="1">
      <alignment horizontal="left" vertical="top"/>
    </xf>
    <xf numFmtId="0" fontId="15" fillId="3" borderId="0" xfId="0" applyFont="1" applyFill="1" applyBorder="1" applyAlignment="1">
      <alignment horizontal="right" vertical="top"/>
    </xf>
    <xf numFmtId="0" fontId="14" fillId="3" borderId="0" xfId="0" applyFont="1" applyFill="1" applyAlignment="1">
      <alignment horizontal="left" vertical="top"/>
    </xf>
    <xf numFmtId="0" fontId="14" fillId="3" borderId="0" xfId="0" applyFont="1" applyFill="1" applyAlignment="1">
      <alignment horizontal="right" vertical="top"/>
    </xf>
    <xf numFmtId="0" fontId="0" fillId="0" borderId="0" xfId="0" applyAlignment="1">
      <alignment horizontal="left" vertical="top"/>
    </xf>
    <xf numFmtId="0" fontId="28" fillId="7" borderId="26" xfId="0" applyFont="1" applyFill="1" applyBorder="1" applyAlignment="1"/>
    <xf numFmtId="0" fontId="0" fillId="0" borderId="0" xfId="0" applyBorder="1"/>
    <xf numFmtId="0" fontId="32" fillId="0" borderId="8" xfId="0" applyFont="1" applyFill="1" applyBorder="1" applyAlignment="1"/>
    <xf numFmtId="0" fontId="32" fillId="0" borderId="19" xfId="0" applyFont="1" applyFill="1" applyBorder="1" applyAlignment="1"/>
    <xf numFmtId="0" fontId="0" fillId="0" borderId="0" xfId="0" applyFill="1" applyBorder="1" applyAlignment="1">
      <alignment wrapText="1"/>
    </xf>
    <xf numFmtId="0" fontId="15" fillId="0" borderId="0" xfId="0" applyFont="1" applyAlignment="1">
      <alignment wrapText="1"/>
    </xf>
    <xf numFmtId="0" fontId="0" fillId="0" borderId="34" xfId="0" applyBorder="1" applyAlignment="1">
      <alignment horizontal="center"/>
    </xf>
    <xf numFmtId="0" fontId="0" fillId="0" borderId="0" xfId="0" applyBorder="1" applyAlignment="1">
      <alignment horizontal="center"/>
    </xf>
    <xf numFmtId="0" fontId="0" fillId="0" borderId="3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35" fillId="0" borderId="6" xfId="0" applyFont="1" applyBorder="1" applyAlignment="1">
      <alignment horizontal="center" vertical="center" wrapText="1"/>
    </xf>
    <xf numFmtId="0" fontId="35" fillId="0" borderId="7" xfId="0" applyFont="1" applyBorder="1" applyAlignment="1">
      <alignment horizontal="center" vertical="center"/>
    </xf>
    <xf numFmtId="0" fontId="35" fillId="0" borderId="8" xfId="0" applyFont="1" applyBorder="1" applyAlignment="1">
      <alignment horizontal="center" vertical="center"/>
    </xf>
    <xf numFmtId="0" fontId="35" fillId="0" borderId="18" xfId="0" applyFont="1" applyBorder="1" applyAlignment="1">
      <alignment horizontal="center" vertical="center"/>
    </xf>
    <xf numFmtId="0" fontId="35" fillId="0" borderId="0" xfId="0" applyFont="1" applyBorder="1" applyAlignment="1">
      <alignment horizontal="center" vertical="center"/>
    </xf>
    <xf numFmtId="0" fontId="35" fillId="0" borderId="19" xfId="0" applyFont="1" applyBorder="1" applyAlignment="1">
      <alignment horizontal="center" vertical="center"/>
    </xf>
    <xf numFmtId="0" fontId="35" fillId="0" borderId="9" xfId="0" applyFont="1" applyBorder="1" applyAlignment="1">
      <alignment horizontal="center" vertical="center"/>
    </xf>
    <xf numFmtId="0" fontId="35" fillId="0" borderId="10" xfId="0" applyFont="1" applyBorder="1" applyAlignment="1">
      <alignment horizontal="center" vertical="center"/>
    </xf>
    <xf numFmtId="0" fontId="35" fillId="0" borderId="11" xfId="0" applyFont="1" applyBorder="1" applyAlignment="1">
      <alignment horizontal="center" vertical="center"/>
    </xf>
    <xf numFmtId="0" fontId="0" fillId="0" borderId="18" xfId="0" applyBorder="1" applyAlignment="1">
      <alignment horizontal="center" vertical="center" wrapText="1"/>
    </xf>
    <xf numFmtId="0" fontId="0" fillId="0" borderId="0" xfId="0" applyBorder="1" applyAlignment="1">
      <alignment horizontal="center" vertical="center" wrapText="1"/>
    </xf>
    <xf numFmtId="0" fontId="0" fillId="0" borderId="19"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0" xfId="0" applyBorder="1" applyAlignment="1">
      <alignment horizontal="center" vertical="center"/>
    </xf>
    <xf numFmtId="0" fontId="0" fillId="0" borderId="19" xfId="0" applyBorder="1" applyAlignment="1">
      <alignment horizontal="center" vertical="center"/>
    </xf>
    <xf numFmtId="0" fontId="0" fillId="0" borderId="1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35" fillId="0" borderId="7" xfId="0" applyFont="1" applyBorder="1" applyAlignment="1">
      <alignment horizontal="center" vertical="center" wrapText="1"/>
    </xf>
    <xf numFmtId="0" fontId="35" fillId="0" borderId="8" xfId="0" applyFont="1" applyBorder="1" applyAlignment="1">
      <alignment horizontal="center" vertical="center" wrapText="1"/>
    </xf>
    <xf numFmtId="0" fontId="35" fillId="0" borderId="18" xfId="0" applyFont="1" applyBorder="1" applyAlignment="1">
      <alignment horizontal="center" vertical="center" wrapText="1"/>
    </xf>
    <xf numFmtId="0" fontId="35" fillId="0" borderId="0" xfId="0" applyFont="1" applyBorder="1" applyAlignment="1">
      <alignment horizontal="center" vertical="center" wrapText="1"/>
    </xf>
    <xf numFmtId="0" fontId="35" fillId="0" borderId="19" xfId="0" applyFont="1" applyBorder="1" applyAlignment="1">
      <alignment horizontal="center" vertical="center" wrapText="1"/>
    </xf>
    <xf numFmtId="0" fontId="0" fillId="0" borderId="6"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18" xfId="0" applyBorder="1" applyAlignment="1">
      <alignment horizontal="center" wrapText="1"/>
    </xf>
    <xf numFmtId="0" fontId="0" fillId="0" borderId="0" xfId="0" applyBorder="1" applyAlignment="1">
      <alignment horizontal="center" wrapText="1"/>
    </xf>
    <xf numFmtId="0" fontId="0" fillId="0" borderId="19" xfId="0" applyBorder="1" applyAlignment="1">
      <alignment horizontal="center" wrapText="1"/>
    </xf>
    <xf numFmtId="0" fontId="34" fillId="23" borderId="6" xfId="0" applyFont="1" applyFill="1" applyBorder="1" applyAlignment="1">
      <alignment horizontal="center"/>
    </xf>
    <xf numFmtId="0" fontId="0" fillId="23" borderId="7" xfId="0" applyFill="1" applyBorder="1" applyAlignment="1">
      <alignment horizontal="center"/>
    </xf>
    <xf numFmtId="0" fontId="0" fillId="23" borderId="8" xfId="0" applyFill="1" applyBorder="1" applyAlignment="1">
      <alignment horizontal="center"/>
    </xf>
    <xf numFmtId="0" fontId="0" fillId="23" borderId="9" xfId="0" applyFill="1" applyBorder="1" applyAlignment="1">
      <alignment horizontal="center"/>
    </xf>
    <xf numFmtId="0" fontId="0" fillId="23" borderId="10" xfId="0" applyFill="1" applyBorder="1" applyAlignment="1">
      <alignment horizontal="center"/>
    </xf>
    <xf numFmtId="0" fontId="0" fillId="23" borderId="11" xfId="0" applyFill="1" applyBorder="1" applyAlignment="1">
      <alignment horizontal="center"/>
    </xf>
    <xf numFmtId="0" fontId="0" fillId="0" borderId="9" xfId="0" applyBorder="1" applyAlignment="1">
      <alignment horizontal="center" wrapText="1"/>
    </xf>
    <xf numFmtId="0" fontId="0" fillId="0" borderId="10" xfId="0" applyBorder="1" applyAlignment="1">
      <alignment horizontal="center" wrapText="1"/>
    </xf>
    <xf numFmtId="0" fontId="0" fillId="0" borderId="11" xfId="0" applyBorder="1" applyAlignment="1">
      <alignment horizontal="center" wrapText="1"/>
    </xf>
    <xf numFmtId="0" fontId="34" fillId="22" borderId="6" xfId="0" applyFont="1" applyFill="1" applyBorder="1" applyAlignment="1">
      <alignment horizontal="center"/>
    </xf>
    <xf numFmtId="0" fontId="0" fillId="22" borderId="7" xfId="0" applyFill="1" applyBorder="1" applyAlignment="1">
      <alignment horizontal="center"/>
    </xf>
    <xf numFmtId="0" fontId="0" fillId="22" borderId="8" xfId="0" applyFill="1" applyBorder="1" applyAlignment="1">
      <alignment horizontal="center"/>
    </xf>
    <xf numFmtId="0" fontId="0" fillId="22" borderId="9" xfId="0" applyFill="1" applyBorder="1" applyAlignment="1">
      <alignment horizontal="center"/>
    </xf>
    <xf numFmtId="0" fontId="0" fillId="22" borderId="10" xfId="0" applyFill="1" applyBorder="1" applyAlignment="1">
      <alignment horizontal="center"/>
    </xf>
    <xf numFmtId="0" fontId="0" fillId="22" borderId="11" xfId="0" applyFill="1" applyBorder="1" applyAlignment="1">
      <alignment horizontal="center"/>
    </xf>
    <xf numFmtId="0" fontId="26" fillId="10" borderId="18" xfId="0" applyFont="1" applyFill="1" applyBorder="1" applyAlignment="1">
      <alignment horizontal="center"/>
    </xf>
    <xf numFmtId="0" fontId="26" fillId="10" borderId="0" xfId="0" applyFont="1" applyFill="1" applyBorder="1" applyAlignment="1">
      <alignment horizontal="center"/>
    </xf>
    <xf numFmtId="0" fontId="0" fillId="0" borderId="18" xfId="0" applyBorder="1" applyAlignment="1">
      <alignment horizontal="left" wrapText="1"/>
    </xf>
    <xf numFmtId="0" fontId="0" fillId="0" borderId="0" xfId="0" applyBorder="1" applyAlignment="1">
      <alignment horizontal="left"/>
    </xf>
    <xf numFmtId="0" fontId="0" fillId="0" borderId="18" xfId="0" applyBorder="1" applyAlignment="1">
      <alignment horizontal="left"/>
    </xf>
    <xf numFmtId="0" fontId="0" fillId="0" borderId="9" xfId="0" applyBorder="1" applyAlignment="1">
      <alignment horizontal="left"/>
    </xf>
    <xf numFmtId="0" fontId="0" fillId="0" borderId="10" xfId="0" applyBorder="1" applyAlignment="1">
      <alignment horizontal="left"/>
    </xf>
    <xf numFmtId="0" fontId="32" fillId="10" borderId="6" xfId="0" applyFont="1" applyFill="1" applyBorder="1" applyAlignment="1">
      <alignment horizontal="center"/>
    </xf>
    <xf numFmtId="0" fontId="32" fillId="10" borderId="7" xfId="0" applyFont="1" applyFill="1" applyBorder="1" applyAlignment="1">
      <alignment horizontal="center"/>
    </xf>
    <xf numFmtId="0" fontId="32" fillId="10" borderId="8" xfId="0" applyFont="1" applyFill="1" applyBorder="1" applyAlignment="1">
      <alignment horizontal="center"/>
    </xf>
    <xf numFmtId="0" fontId="32" fillId="10" borderId="18" xfId="0" applyFont="1" applyFill="1" applyBorder="1" applyAlignment="1">
      <alignment horizontal="center"/>
    </xf>
    <xf numFmtId="0" fontId="32" fillId="10" borderId="0" xfId="0" applyFont="1" applyFill="1" applyBorder="1" applyAlignment="1">
      <alignment horizontal="center"/>
    </xf>
    <xf numFmtId="0" fontId="32" fillId="10" borderId="19" xfId="0" applyFont="1" applyFill="1" applyBorder="1" applyAlignment="1">
      <alignment horizontal="center"/>
    </xf>
    <xf numFmtId="0" fontId="0" fillId="12" borderId="18" xfId="0" applyFill="1" applyBorder="1" applyAlignment="1">
      <alignment horizontal="center" wrapText="1"/>
    </xf>
    <xf numFmtId="0" fontId="0" fillId="12" borderId="0" xfId="0" applyFill="1" applyBorder="1" applyAlignment="1">
      <alignment horizontal="center" wrapText="1"/>
    </xf>
    <xf numFmtId="0" fontId="0" fillId="12" borderId="19" xfId="0" applyFill="1" applyBorder="1" applyAlignment="1">
      <alignment horizontal="center" wrapText="1"/>
    </xf>
    <xf numFmtId="0" fontId="30" fillId="10" borderId="35" xfId="0" applyFont="1" applyFill="1" applyBorder="1" applyAlignment="1">
      <alignment horizontal="center" vertical="top"/>
    </xf>
    <xf numFmtId="0" fontId="34" fillId="10" borderId="34" xfId="0" applyFont="1" applyFill="1" applyBorder="1" applyAlignment="1">
      <alignment horizontal="center" vertical="top"/>
    </xf>
    <xf numFmtId="0" fontId="34" fillId="10" borderId="18" xfId="0" applyFont="1" applyFill="1" applyBorder="1" applyAlignment="1">
      <alignment horizontal="center" vertical="top"/>
    </xf>
    <xf numFmtId="0" fontId="34" fillId="10" borderId="0" xfId="0" applyFont="1" applyFill="1" applyBorder="1" applyAlignment="1">
      <alignment horizontal="center" vertical="top"/>
    </xf>
    <xf numFmtId="0" fontId="30" fillId="10" borderId="34" xfId="0" applyFont="1" applyFill="1" applyBorder="1" applyAlignment="1">
      <alignment horizontal="center" vertical="top"/>
    </xf>
    <xf numFmtId="0" fontId="30" fillId="10" borderId="0" xfId="0" applyFont="1" applyFill="1" applyBorder="1" applyAlignment="1">
      <alignment horizontal="center" vertical="top"/>
    </xf>
    <xf numFmtId="0" fontId="30" fillId="10" borderId="36" xfId="0" applyFont="1" applyFill="1" applyBorder="1" applyAlignment="1">
      <alignment horizontal="center" vertical="top"/>
    </xf>
    <xf numFmtId="0" fontId="30" fillId="10" borderId="19" xfId="0" applyFont="1" applyFill="1" applyBorder="1" applyAlignment="1">
      <alignment horizontal="center" vertical="top"/>
    </xf>
    <xf numFmtId="0" fontId="0" fillId="12" borderId="6" xfId="0" applyFill="1" applyBorder="1" applyAlignment="1">
      <alignment horizontal="center"/>
    </xf>
    <xf numFmtId="0" fontId="0" fillId="12" borderId="7" xfId="0" applyFill="1" applyBorder="1" applyAlignment="1">
      <alignment horizontal="center"/>
    </xf>
    <xf numFmtId="0" fontId="0" fillId="12" borderId="8" xfId="0" applyFill="1" applyBorder="1" applyAlignment="1">
      <alignment horizontal="center"/>
    </xf>
    <xf numFmtId="0" fontId="0" fillId="12" borderId="9" xfId="0" applyFill="1" applyBorder="1" applyAlignment="1">
      <alignment horizontal="center"/>
    </xf>
    <xf numFmtId="0" fontId="0" fillId="12" borderId="10" xfId="0" applyFill="1" applyBorder="1" applyAlignment="1">
      <alignment horizontal="center"/>
    </xf>
    <xf numFmtId="0" fontId="0" fillId="12" borderId="11" xfId="0" applyFill="1" applyBorder="1" applyAlignment="1">
      <alignment horizontal="center"/>
    </xf>
    <xf numFmtId="0" fontId="35" fillId="0" borderId="6" xfId="0" applyFont="1" applyBorder="1" applyAlignment="1">
      <alignment horizontal="center" vertical="center"/>
    </xf>
    <xf numFmtId="0" fontId="0" fillId="0" borderId="6" xfId="0" applyBorder="1" applyAlignment="1">
      <alignment horizontal="center" vertical="top" wrapText="1"/>
    </xf>
    <xf numFmtId="0" fontId="0" fillId="0" borderId="7" xfId="0" applyBorder="1" applyAlignment="1">
      <alignment horizontal="center" vertical="top" wrapText="1"/>
    </xf>
    <xf numFmtId="0" fontId="0" fillId="0" borderId="8" xfId="0" applyBorder="1" applyAlignment="1">
      <alignment horizontal="center" vertical="top" wrapText="1"/>
    </xf>
    <xf numFmtId="0" fontId="0" fillId="0" borderId="18" xfId="0" applyBorder="1" applyAlignment="1">
      <alignment horizontal="center" vertical="top" wrapText="1"/>
    </xf>
    <xf numFmtId="0" fontId="0" fillId="0" borderId="0" xfId="0" applyBorder="1" applyAlignment="1">
      <alignment horizontal="center" vertical="top" wrapText="1"/>
    </xf>
    <xf numFmtId="0" fontId="0" fillId="0" borderId="19" xfId="0" applyBorder="1" applyAlignment="1">
      <alignment horizontal="center" vertical="top" wrapText="1"/>
    </xf>
    <xf numFmtId="0" fontId="0" fillId="0" borderId="9" xfId="0" applyBorder="1" applyAlignment="1">
      <alignment horizontal="center" vertical="top" wrapText="1"/>
    </xf>
    <xf numFmtId="0" fontId="0" fillId="0" borderId="10" xfId="0" applyBorder="1" applyAlignment="1">
      <alignment horizontal="center" vertical="top" wrapText="1"/>
    </xf>
    <xf numFmtId="0" fontId="0" fillId="0" borderId="11" xfId="0" applyBorder="1" applyAlignment="1">
      <alignment horizontal="center"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18" xfId="0" applyBorder="1" applyAlignment="1">
      <alignment horizontal="left" vertical="top" wrapText="1"/>
    </xf>
    <xf numFmtId="0" fontId="0" fillId="0" borderId="0" xfId="0" applyBorder="1" applyAlignment="1">
      <alignment horizontal="left" vertical="top" wrapText="1"/>
    </xf>
    <xf numFmtId="0" fontId="0" fillId="0" borderId="19"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7" xfId="0" applyBorder="1" applyAlignment="1">
      <alignment horizontal="left" vertical="top"/>
    </xf>
    <xf numFmtId="0" fontId="0" fillId="0" borderId="8" xfId="0" applyBorder="1" applyAlignment="1">
      <alignment horizontal="left" vertical="top"/>
    </xf>
    <xf numFmtId="0" fontId="0" fillId="0" borderId="18" xfId="0" applyBorder="1" applyAlignment="1">
      <alignment horizontal="left" vertical="top"/>
    </xf>
    <xf numFmtId="0" fontId="0" fillId="0" borderId="0" xfId="0" applyBorder="1" applyAlignment="1">
      <alignment horizontal="left" vertical="top"/>
    </xf>
    <xf numFmtId="0" fontId="0" fillId="0" borderId="19" xfId="0" applyBorder="1" applyAlignment="1">
      <alignment horizontal="left" vertical="top"/>
    </xf>
    <xf numFmtId="0" fontId="0" fillId="0" borderId="9"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28" fillId="0" borderId="35" xfId="0" applyFont="1" applyBorder="1" applyAlignment="1">
      <alignment horizontal="left" vertical="top" wrapText="1"/>
    </xf>
    <xf numFmtId="0" fontId="28" fillId="0" borderId="34" xfId="0" applyFont="1" applyBorder="1" applyAlignment="1">
      <alignment horizontal="left" vertical="top" wrapText="1"/>
    </xf>
    <xf numFmtId="0" fontId="28" fillId="0" borderId="18" xfId="0" applyFont="1" applyBorder="1" applyAlignment="1">
      <alignment horizontal="left" vertical="top" wrapText="1"/>
    </xf>
    <xf numFmtId="0" fontId="28" fillId="0" borderId="0" xfId="0" applyFont="1" applyBorder="1" applyAlignment="1">
      <alignment horizontal="left" vertical="top" wrapText="1"/>
    </xf>
    <xf numFmtId="0" fontId="28" fillId="0" borderId="0" xfId="0" applyFont="1" applyBorder="1" applyAlignment="1">
      <alignment horizontal="left" vertical="top"/>
    </xf>
    <xf numFmtId="0" fontId="28" fillId="0" borderId="18" xfId="0" applyFont="1" applyBorder="1" applyAlignment="1">
      <alignment horizontal="left" vertical="top"/>
    </xf>
    <xf numFmtId="0" fontId="0" fillId="0" borderId="26" xfId="0" applyFont="1" applyFill="1" applyBorder="1" applyAlignment="1">
      <alignment horizontal="center"/>
    </xf>
    <xf numFmtId="0" fontId="0" fillId="0" borderId="1" xfId="0" applyFont="1" applyFill="1" applyBorder="1" applyAlignment="1">
      <alignment horizontal="center"/>
    </xf>
    <xf numFmtId="0" fontId="28" fillId="0" borderId="4" xfId="0" applyFont="1" applyBorder="1" applyAlignment="1">
      <alignment horizontal="center"/>
    </xf>
    <xf numFmtId="0" fontId="28" fillId="0" borderId="0" xfId="0" applyFont="1" applyBorder="1" applyAlignment="1">
      <alignment horizontal="center"/>
    </xf>
    <xf numFmtId="0" fontId="26" fillId="21" borderId="18" xfId="0" applyFont="1" applyFill="1" applyBorder="1" applyAlignment="1">
      <alignment horizontal="center"/>
    </xf>
    <xf numFmtId="0" fontId="26" fillId="21" borderId="0" xfId="0" applyFont="1" applyFill="1" applyBorder="1" applyAlignment="1">
      <alignment horizontal="center"/>
    </xf>
    <xf numFmtId="0" fontId="2" fillId="22" borderId="26" xfId="0" applyFont="1" applyFill="1" applyBorder="1" applyAlignment="1">
      <alignment horizontal="center"/>
    </xf>
    <xf numFmtId="0" fontId="2" fillId="22" borderId="1" xfId="0" applyFont="1" applyFill="1" applyBorder="1" applyAlignment="1">
      <alignment horizontal="center"/>
    </xf>
    <xf numFmtId="0" fontId="31" fillId="12" borderId="18" xfId="0" applyFont="1" applyFill="1" applyBorder="1" applyAlignment="1">
      <alignment horizontal="center"/>
    </xf>
    <xf numFmtId="0" fontId="31" fillId="12" borderId="0" xfId="0" applyFont="1" applyFill="1" applyBorder="1" applyAlignment="1">
      <alignment horizontal="center"/>
    </xf>
    <xf numFmtId="0" fontId="28" fillId="0" borderId="18" xfId="0" applyFont="1" applyBorder="1" applyAlignment="1">
      <alignment horizontal="center" vertical="center" wrapText="1"/>
    </xf>
    <xf numFmtId="0" fontId="28" fillId="0" borderId="0" xfId="0" applyFont="1" applyBorder="1" applyAlignment="1">
      <alignment horizontal="center" vertical="center" wrapText="1"/>
    </xf>
    <xf numFmtId="0" fontId="26" fillId="10" borderId="18" xfId="0" applyFont="1" applyFill="1" applyBorder="1" applyAlignment="1">
      <alignment horizontal="center" vertical="center"/>
    </xf>
    <xf numFmtId="0" fontId="26" fillId="10" borderId="0" xfId="0" applyFont="1" applyFill="1" applyBorder="1" applyAlignment="1">
      <alignment horizontal="center" vertical="center"/>
    </xf>
    <xf numFmtId="0" fontId="28" fillId="0" borderId="1" xfId="0" applyFont="1" applyBorder="1" applyAlignment="1">
      <alignment horizontal="center"/>
    </xf>
    <xf numFmtId="0" fontId="29" fillId="0" borderId="1" xfId="0" applyFont="1" applyFill="1" applyBorder="1" applyAlignment="1">
      <alignment horizontal="left" vertical="top" wrapText="1"/>
    </xf>
    <xf numFmtId="0" fontId="29" fillId="0" borderId="13" xfId="0" applyFont="1" applyFill="1" applyBorder="1" applyAlignment="1">
      <alignment horizontal="left" vertical="top" wrapText="1"/>
    </xf>
    <xf numFmtId="0" fontId="29" fillId="0" borderId="1" xfId="0" applyFont="1" applyFill="1" applyBorder="1" applyAlignment="1">
      <alignment horizontal="left" vertical="top"/>
    </xf>
    <xf numFmtId="0" fontId="29" fillId="0" borderId="13" xfId="0" applyFont="1" applyFill="1" applyBorder="1" applyAlignment="1">
      <alignment horizontal="left" vertical="top"/>
    </xf>
    <xf numFmtId="0" fontId="26" fillId="21" borderId="30" xfId="0" applyFont="1" applyFill="1" applyBorder="1" applyAlignment="1">
      <alignment horizontal="center"/>
    </xf>
    <xf numFmtId="0" fontId="26" fillId="21" borderId="31" xfId="0" applyFont="1" applyFill="1" applyBorder="1" applyAlignment="1">
      <alignment horizontal="center"/>
    </xf>
    <xf numFmtId="0" fontId="26" fillId="21" borderId="32" xfId="0" applyFont="1" applyFill="1" applyBorder="1" applyAlignment="1">
      <alignment horizontal="center"/>
    </xf>
    <xf numFmtId="0" fontId="27" fillId="12" borderId="12" xfId="0" applyFont="1" applyFill="1" applyBorder="1" applyAlignment="1">
      <alignment horizontal="center"/>
    </xf>
    <xf numFmtId="0" fontId="27" fillId="12" borderId="20" xfId="0" applyFont="1" applyFill="1" applyBorder="1" applyAlignment="1">
      <alignment horizontal="center"/>
    </xf>
    <xf numFmtId="0" fontId="26" fillId="10" borderId="0" xfId="0" applyFont="1" applyFill="1" applyAlignment="1">
      <alignment horizontal="center"/>
    </xf>
    <xf numFmtId="0" fontId="2" fillId="12" borderId="1" xfId="0" applyFont="1" applyFill="1" applyBorder="1" applyAlignment="1">
      <alignment horizontal="left"/>
    </xf>
    <xf numFmtId="0" fontId="2" fillId="12" borderId="13" xfId="0" applyFont="1" applyFill="1" applyBorder="1" applyAlignment="1">
      <alignment horizontal="left"/>
    </xf>
    <xf numFmtId="0" fontId="28" fillId="0" borderId="1" xfId="0" applyFont="1" applyBorder="1" applyAlignment="1">
      <alignment horizontal="left" vertical="top" wrapText="1"/>
    </xf>
    <xf numFmtId="0" fontId="28" fillId="0" borderId="13" xfId="0" applyFont="1" applyBorder="1" applyAlignment="1">
      <alignment horizontal="left" vertical="top" wrapText="1"/>
    </xf>
    <xf numFmtId="0" fontId="28" fillId="0" borderId="28" xfId="0" applyFont="1" applyBorder="1" applyAlignment="1">
      <alignment horizontal="left" vertical="top" wrapText="1"/>
    </xf>
    <xf numFmtId="0" fontId="28" fillId="0" borderId="29" xfId="0" applyFont="1" applyBorder="1" applyAlignment="1">
      <alignment horizontal="left" vertical="top" wrapText="1"/>
    </xf>
    <xf numFmtId="0" fontId="26" fillId="10" borderId="25" xfId="0" applyFont="1" applyFill="1" applyBorder="1" applyAlignment="1">
      <alignment horizontal="center"/>
    </xf>
    <xf numFmtId="0" fontId="26" fillId="10" borderId="12" xfId="0" applyFont="1" applyFill="1" applyBorder="1" applyAlignment="1">
      <alignment horizontal="center"/>
    </xf>
    <xf numFmtId="0" fontId="26" fillId="10" borderId="20" xfId="0" applyFont="1" applyFill="1" applyBorder="1" applyAlignment="1">
      <alignment horizontal="center"/>
    </xf>
    <xf numFmtId="0" fontId="0" fillId="0" borderId="1" xfId="0" applyBorder="1" applyAlignment="1">
      <alignment horizontal="left" vertical="top" wrapText="1"/>
    </xf>
    <xf numFmtId="0" fontId="0" fillId="0" borderId="28" xfId="0" applyBorder="1" applyAlignment="1">
      <alignment horizontal="left" vertical="top" wrapText="1"/>
    </xf>
    <xf numFmtId="0" fontId="14" fillId="3" borderId="1" xfId="0" applyFont="1" applyFill="1" applyBorder="1" applyAlignment="1">
      <alignment horizontal="left" vertical="top" wrapText="1"/>
    </xf>
    <xf numFmtId="0" fontId="14" fillId="3" borderId="1" xfId="0" applyFont="1" applyFill="1" applyBorder="1" applyAlignment="1">
      <alignment horizontal="left" vertical="top"/>
    </xf>
    <xf numFmtId="0" fontId="15" fillId="7" borderId="6" xfId="0" applyFont="1" applyFill="1" applyBorder="1" applyAlignment="1">
      <alignment horizontal="left" vertical="top" wrapText="1"/>
    </xf>
    <xf numFmtId="0" fontId="15" fillId="7" borderId="7" xfId="0" applyFont="1" applyFill="1" applyBorder="1" applyAlignment="1">
      <alignment horizontal="left" vertical="top" wrapText="1"/>
    </xf>
    <xf numFmtId="0" fontId="15" fillId="7" borderId="9" xfId="0" applyFont="1" applyFill="1" applyBorder="1" applyAlignment="1">
      <alignment horizontal="left" vertical="top" wrapText="1"/>
    </xf>
    <xf numFmtId="0" fontId="15" fillId="7" borderId="10" xfId="0" applyFont="1" applyFill="1" applyBorder="1" applyAlignment="1">
      <alignment horizontal="left" vertical="top" wrapText="1"/>
    </xf>
    <xf numFmtId="0" fontId="15" fillId="7" borderId="3" xfId="0" applyFont="1" applyFill="1" applyBorder="1" applyAlignment="1">
      <alignment horizontal="left" vertical="top" wrapText="1"/>
    </xf>
    <xf numFmtId="0" fontId="15" fillId="7" borderId="21" xfId="0" applyFont="1" applyFill="1" applyBorder="1" applyAlignment="1">
      <alignment horizontal="left" vertical="top" wrapText="1"/>
    </xf>
    <xf numFmtId="0" fontId="15" fillId="7" borderId="5" xfId="0" applyFont="1" applyFill="1" applyBorder="1" applyAlignment="1">
      <alignment horizontal="left" vertical="top" wrapText="1"/>
    </xf>
    <xf numFmtId="0" fontId="15" fillId="7" borderId="1" xfId="0" applyFont="1" applyFill="1" applyBorder="1" applyAlignment="1">
      <alignment horizontal="left" vertical="top" wrapText="1"/>
    </xf>
    <xf numFmtId="0" fontId="23" fillId="4" borderId="6" xfId="0" applyFont="1" applyFill="1" applyBorder="1" applyAlignment="1">
      <alignment horizontal="center" vertical="top"/>
    </xf>
    <xf numFmtId="0" fontId="23" fillId="4" borderId="18" xfId="0" applyFont="1" applyFill="1" applyBorder="1" applyAlignment="1">
      <alignment horizontal="center" vertical="top"/>
    </xf>
    <xf numFmtId="0" fontId="23" fillId="4" borderId="9" xfId="0" applyFont="1" applyFill="1" applyBorder="1" applyAlignment="1">
      <alignment horizontal="center" vertical="top"/>
    </xf>
    <xf numFmtId="0" fontId="23" fillId="4" borderId="6" xfId="0" applyFont="1" applyFill="1" applyBorder="1" applyAlignment="1">
      <alignment horizontal="left" vertical="top"/>
    </xf>
    <xf numFmtId="0" fontId="23" fillId="4" borderId="18" xfId="0" applyFont="1" applyFill="1" applyBorder="1" applyAlignment="1">
      <alignment horizontal="left" vertical="top"/>
    </xf>
    <xf numFmtId="0" fontId="23" fillId="4" borderId="9" xfId="0" applyFont="1" applyFill="1" applyBorder="1" applyAlignment="1">
      <alignment horizontal="left" vertical="top"/>
    </xf>
    <xf numFmtId="0" fontId="11" fillId="2" borderId="12" xfId="0" applyFont="1" applyFill="1" applyBorder="1" applyAlignment="1">
      <alignment horizontal="left" vertical="top"/>
    </xf>
    <xf numFmtId="0" fontId="11" fillId="2" borderId="14" xfId="0" applyFont="1" applyFill="1" applyBorder="1" applyAlignment="1">
      <alignment horizontal="left" vertical="top"/>
    </xf>
    <xf numFmtId="0" fontId="15" fillId="7" borderId="8" xfId="0" applyFont="1" applyFill="1" applyBorder="1" applyAlignment="1">
      <alignment horizontal="left" vertical="top" wrapText="1"/>
    </xf>
    <xf numFmtId="0" fontId="15" fillId="7" borderId="18" xfId="0" applyFont="1" applyFill="1" applyBorder="1" applyAlignment="1">
      <alignment horizontal="left" vertical="top" wrapText="1"/>
    </xf>
    <xf numFmtId="0" fontId="15" fillId="7" borderId="0" xfId="0" applyFont="1" applyFill="1" applyBorder="1" applyAlignment="1">
      <alignment horizontal="left" vertical="top" wrapText="1"/>
    </xf>
    <xf numFmtId="0" fontId="15" fillId="7" borderId="19" xfId="0" applyFont="1" applyFill="1" applyBorder="1" applyAlignment="1">
      <alignment horizontal="left" vertical="top" wrapText="1"/>
    </xf>
    <xf numFmtId="0" fontId="15" fillId="7" borderId="11" xfId="0" applyFont="1" applyFill="1" applyBorder="1" applyAlignment="1">
      <alignment horizontal="left" vertical="top" wrapText="1"/>
    </xf>
    <xf numFmtId="0" fontId="15" fillId="0" borderId="1" xfId="0" applyFont="1" applyFill="1" applyBorder="1" applyAlignment="1">
      <alignment horizontal="left" vertical="top"/>
    </xf>
    <xf numFmtId="0" fontId="15" fillId="19" borderId="1" xfId="0" applyFont="1" applyFill="1" applyBorder="1" applyAlignment="1">
      <alignment horizontal="left" vertical="top"/>
    </xf>
    <xf numFmtId="0" fontId="20" fillId="0" borderId="1" xfId="0" applyFont="1" applyFill="1" applyBorder="1" applyAlignment="1">
      <alignment horizontal="left"/>
    </xf>
    <xf numFmtId="0" fontId="20" fillId="0" borderId="3" xfId="0" applyFont="1" applyFill="1" applyBorder="1" applyAlignment="1">
      <alignment horizontal="left"/>
    </xf>
    <xf numFmtId="0" fontId="11" fillId="7" borderId="0" xfId="0" applyFont="1" applyFill="1" applyAlignment="1">
      <alignment horizontal="center"/>
    </xf>
    <xf numFmtId="0" fontId="5" fillId="19" borderId="3" xfId="0" applyFont="1" applyFill="1" applyBorder="1" applyAlignment="1">
      <alignment horizontal="left"/>
    </xf>
    <xf numFmtId="0" fontId="5" fillId="19" borderId="21" xfId="0" applyFont="1" applyFill="1" applyBorder="1" applyAlignment="1">
      <alignment horizontal="left"/>
    </xf>
    <xf numFmtId="0" fontId="5" fillId="19" borderId="5" xfId="0" applyFont="1" applyFill="1" applyBorder="1" applyAlignment="1">
      <alignment horizontal="left"/>
    </xf>
    <xf numFmtId="9" fontId="7" fillId="19" borderId="1" xfId="0" applyNumberFormat="1" applyFont="1" applyFill="1" applyBorder="1" applyAlignment="1">
      <alignment horizontal="center"/>
    </xf>
    <xf numFmtId="0" fontId="7" fillId="19" borderId="1" xfId="0" applyNumberFormat="1" applyFont="1" applyFill="1" applyBorder="1" applyAlignment="1">
      <alignment horizontal="center"/>
    </xf>
    <xf numFmtId="0" fontId="4" fillId="19" borderId="3" xfId="0" applyFont="1" applyFill="1" applyBorder="1" applyAlignment="1">
      <alignment horizontal="left" vertical="top" wrapText="1"/>
    </xf>
    <xf numFmtId="0" fontId="4" fillId="19" borderId="21" xfId="0" applyFont="1" applyFill="1" applyBorder="1" applyAlignment="1">
      <alignment horizontal="left" vertical="top" wrapText="1"/>
    </xf>
    <xf numFmtId="0" fontId="4" fillId="19" borderId="5" xfId="0" applyFont="1" applyFill="1" applyBorder="1" applyAlignment="1">
      <alignment horizontal="left" vertical="top" wrapText="1"/>
    </xf>
    <xf numFmtId="0" fontId="11" fillId="7" borderId="6" xfId="0" applyFont="1" applyFill="1" applyBorder="1" applyAlignment="1">
      <alignment horizontal="center" vertical="top" wrapText="1"/>
    </xf>
    <xf numFmtId="0" fontId="11" fillId="7" borderId="7" xfId="0" applyFont="1" applyFill="1" applyBorder="1" applyAlignment="1">
      <alignment horizontal="center" vertical="top" wrapText="1"/>
    </xf>
    <xf numFmtId="0" fontId="11" fillId="7" borderId="8" xfId="0" applyFont="1" applyFill="1" applyBorder="1" applyAlignment="1">
      <alignment horizontal="center" vertical="top" wrapText="1"/>
    </xf>
    <xf numFmtId="0" fontId="11" fillId="7" borderId="9" xfId="0" applyFont="1" applyFill="1" applyBorder="1" applyAlignment="1">
      <alignment horizontal="center" vertical="top" wrapText="1"/>
    </xf>
    <xf numFmtId="0" fontId="11" fillId="7" borderId="10" xfId="0" applyFont="1" applyFill="1" applyBorder="1" applyAlignment="1">
      <alignment horizontal="center" vertical="top" wrapText="1"/>
    </xf>
    <xf numFmtId="0" fontId="11" fillId="7" borderId="11" xfId="0" applyFont="1" applyFill="1" applyBorder="1" applyAlignment="1">
      <alignment horizontal="center" vertical="top" wrapText="1"/>
    </xf>
    <xf numFmtId="0" fontId="4" fillId="2" borderId="3" xfId="0" applyFont="1" applyFill="1" applyBorder="1" applyAlignment="1">
      <alignment horizontal="left"/>
    </xf>
    <xf numFmtId="0" fontId="4" fillId="2" borderId="21" xfId="0" applyFont="1" applyFill="1" applyBorder="1" applyAlignment="1">
      <alignment horizontal="left"/>
    </xf>
    <xf numFmtId="0" fontId="4" fillId="2" borderId="5" xfId="0" applyFont="1" applyFill="1" applyBorder="1" applyAlignment="1">
      <alignment horizontal="left"/>
    </xf>
    <xf numFmtId="0" fontId="11" fillId="2" borderId="12" xfId="0" applyFont="1" applyFill="1" applyBorder="1" applyAlignment="1">
      <alignment horizontal="center"/>
    </xf>
    <xf numFmtId="0" fontId="23" fillId="20" borderId="0" xfId="0" applyFont="1" applyFill="1" applyBorder="1" applyAlignment="1">
      <alignment horizontal="left" vertical="top"/>
    </xf>
    <xf numFmtId="0" fontId="15" fillId="7" borderId="6" xfId="0" applyFont="1" applyFill="1" applyBorder="1" applyAlignment="1">
      <alignment horizontal="center" vertical="top" wrapText="1"/>
    </xf>
    <xf numFmtId="0" fontId="15" fillId="7" borderId="7" xfId="0" applyFont="1" applyFill="1" applyBorder="1" applyAlignment="1">
      <alignment horizontal="center" vertical="top" wrapText="1"/>
    </xf>
    <xf numFmtId="0" fontId="15" fillId="7" borderId="8" xfId="0" applyFont="1" applyFill="1" applyBorder="1" applyAlignment="1">
      <alignment horizontal="center" vertical="top" wrapText="1"/>
    </xf>
    <xf numFmtId="0" fontId="15" fillId="7" borderId="18" xfId="0" applyFont="1" applyFill="1" applyBorder="1" applyAlignment="1">
      <alignment horizontal="center" vertical="top" wrapText="1"/>
    </xf>
    <xf numFmtId="0" fontId="15" fillId="7" borderId="0" xfId="0" applyFont="1" applyFill="1" applyBorder="1" applyAlignment="1">
      <alignment horizontal="center" vertical="top" wrapText="1"/>
    </xf>
    <xf numFmtId="0" fontId="15" fillId="7" borderId="19" xfId="0" applyFont="1" applyFill="1" applyBorder="1" applyAlignment="1">
      <alignment horizontal="center" vertical="top" wrapText="1"/>
    </xf>
    <xf numFmtId="0" fontId="15" fillId="7" borderId="9" xfId="0" applyFont="1" applyFill="1" applyBorder="1" applyAlignment="1">
      <alignment horizontal="center" vertical="top" wrapText="1"/>
    </xf>
    <xf numFmtId="0" fontId="15" fillId="7" borderId="10" xfId="0" applyFont="1" applyFill="1" applyBorder="1" applyAlignment="1">
      <alignment horizontal="center" vertical="top" wrapText="1"/>
    </xf>
    <xf numFmtId="0" fontId="15" fillId="7" borderId="11" xfId="0" applyFont="1" applyFill="1" applyBorder="1" applyAlignment="1">
      <alignment horizontal="center" vertical="top" wrapText="1"/>
    </xf>
    <xf numFmtId="0" fontId="4" fillId="2" borderId="0" xfId="0" applyFont="1" applyFill="1" applyBorder="1" applyAlignment="1">
      <alignment horizontal="center" vertical="top" wrapText="1"/>
    </xf>
    <xf numFmtId="0" fontId="11" fillId="2" borderId="12" xfId="0" applyFont="1" applyFill="1" applyBorder="1" applyAlignment="1">
      <alignment horizontal="left"/>
    </xf>
    <xf numFmtId="0" fontId="15" fillId="19" borderId="1" xfId="0" applyFont="1" applyFill="1" applyBorder="1" applyAlignment="1">
      <alignment horizontal="left" vertical="top" wrapText="1"/>
    </xf>
    <xf numFmtId="0" fontId="4" fillId="19" borderId="3" xfId="0" applyFont="1" applyFill="1" applyBorder="1" applyAlignment="1">
      <alignment horizontal="center" vertical="top" wrapText="1"/>
    </xf>
    <xf numFmtId="0" fontId="4" fillId="19" borderId="21" xfId="0" applyFont="1" applyFill="1" applyBorder="1" applyAlignment="1">
      <alignment horizontal="center" vertical="top" wrapText="1"/>
    </xf>
    <xf numFmtId="0" fontId="4" fillId="19" borderId="5" xfId="0" applyFont="1" applyFill="1" applyBorder="1" applyAlignment="1">
      <alignment horizontal="center" vertical="top" wrapText="1"/>
    </xf>
    <xf numFmtId="0" fontId="4" fillId="19" borderId="1" xfId="0" applyFont="1" applyFill="1" applyBorder="1" applyAlignment="1">
      <alignment horizontal="center" vertical="top" wrapText="1"/>
    </xf>
    <xf numFmtId="0" fontId="11" fillId="2" borderId="1" xfId="0" applyFont="1" applyFill="1" applyBorder="1" applyAlignment="1">
      <alignment horizontal="center" vertical="top"/>
    </xf>
    <xf numFmtId="0" fontId="15" fillId="19" borderId="1" xfId="0" applyFont="1" applyFill="1" applyBorder="1" applyAlignment="1">
      <alignment horizontal="center" vertical="top"/>
    </xf>
    <xf numFmtId="0" fontId="11" fillId="2" borderId="20" xfId="0" applyFont="1" applyFill="1" applyBorder="1" applyAlignment="1">
      <alignment horizontal="left" vertical="top"/>
    </xf>
    <xf numFmtId="0" fontId="15" fillId="0" borderId="13" xfId="0" applyFont="1" applyFill="1" applyBorder="1" applyAlignment="1">
      <alignment horizontal="left" vertical="top"/>
    </xf>
    <xf numFmtId="0" fontId="11" fillId="12" borderId="1" xfId="0" applyFont="1" applyFill="1" applyBorder="1" applyAlignment="1">
      <alignment horizontal="center" vertical="top"/>
    </xf>
    <xf numFmtId="0" fontId="5" fillId="0" borderId="1" xfId="0" applyFont="1" applyBorder="1" applyAlignment="1">
      <alignment horizontal="center" vertical="top"/>
    </xf>
    <xf numFmtId="0" fontId="0" fillId="0" borderId="0" xfId="0" applyFont="1" applyFill="1" applyBorder="1" applyAlignment="1">
      <alignment horizontal="center"/>
    </xf>
    <xf numFmtId="0" fontId="32" fillId="0" borderId="7" xfId="0" applyFont="1" applyFill="1" applyBorder="1" applyAlignment="1">
      <alignment horizontal="center"/>
    </xf>
    <xf numFmtId="0" fontId="32" fillId="0" borderId="0" xfId="0" applyFont="1" applyFill="1" applyBorder="1" applyAlignment="1">
      <alignment horizontal="center"/>
    </xf>
    <xf numFmtId="0" fontId="31" fillId="0" borderId="0" xfId="0" applyFont="1" applyFill="1" applyBorder="1" applyAlignment="1">
      <alignment horizontal="center"/>
    </xf>
    <xf numFmtId="0" fontId="0" fillId="0" borderId="0" xfId="0" applyFill="1" applyBorder="1" applyAlignment="1">
      <alignment horizontal="center"/>
    </xf>
    <xf numFmtId="0" fontId="28" fillId="0" borderId="0" xfId="0" applyFont="1" applyFill="1" applyBorder="1" applyAlignment="1">
      <alignment horizontal="center" vertical="center" wrapText="1"/>
    </xf>
    <xf numFmtId="0" fontId="26" fillId="0" borderId="0" xfId="0" applyFont="1" applyFill="1" applyBorder="1" applyAlignment="1">
      <alignment horizontal="center" vertical="center"/>
    </xf>
    <xf numFmtId="0" fontId="28" fillId="0" borderId="0" xfId="0" applyFont="1" applyFill="1" applyBorder="1" applyAlignment="1">
      <alignment horizontal="left" vertical="top" wrapText="1"/>
    </xf>
    <xf numFmtId="0" fontId="28" fillId="0" borderId="0" xfId="0" applyFont="1" applyFill="1" applyBorder="1" applyAlignment="1">
      <alignment horizontal="center"/>
    </xf>
    <xf numFmtId="0" fontId="0" fillId="0" borderId="0" xfId="0" applyFill="1" applyBorder="1" applyAlignment="1">
      <alignment horizontal="left" vertical="top" wrapText="1"/>
    </xf>
    <xf numFmtId="0" fontId="2" fillId="0" borderId="0" xfId="0" applyFont="1" applyFill="1" applyBorder="1" applyAlignment="1">
      <alignment horizontal="center"/>
    </xf>
    <xf numFmtId="0" fontId="28" fillId="0" borderId="0" xfId="0" applyFont="1" applyFill="1" applyBorder="1" applyAlignment="1">
      <alignment horizontal="left" vertical="top"/>
    </xf>
    <xf numFmtId="0" fontId="0" fillId="0" borderId="0" xfId="0" applyFill="1" applyBorder="1" applyAlignment="1">
      <alignment horizontal="left"/>
    </xf>
    <xf numFmtId="0" fontId="0" fillId="0" borderId="10" xfId="0" applyFill="1" applyBorder="1" applyAlignment="1">
      <alignment horizontal="left"/>
    </xf>
    <xf numFmtId="0" fontId="0" fillId="0" borderId="0" xfId="0" applyFill="1"/>
    <xf numFmtId="0" fontId="31" fillId="12" borderId="19" xfId="0" applyFont="1" applyFill="1" applyBorder="1" applyAlignment="1">
      <alignment horizontal="center"/>
    </xf>
    <xf numFmtId="0" fontId="26" fillId="10" borderId="19" xfId="0" applyFont="1" applyFill="1" applyBorder="1" applyAlignment="1">
      <alignment horizontal="center"/>
    </xf>
    <xf numFmtId="0" fontId="28" fillId="0" borderId="19" xfId="0" applyFont="1" applyBorder="1" applyAlignment="1">
      <alignment horizontal="center" vertical="center" wrapText="1"/>
    </xf>
    <xf numFmtId="0" fontId="26" fillId="10" borderId="19" xfId="0" applyFont="1" applyFill="1" applyBorder="1" applyAlignment="1">
      <alignment horizontal="center" vertical="center"/>
    </xf>
    <xf numFmtId="0" fontId="28" fillId="0" borderId="19" xfId="0" applyFont="1" applyBorder="1" applyAlignment="1">
      <alignment horizontal="left" vertical="top" wrapText="1"/>
    </xf>
    <xf numFmtId="0" fontId="28" fillId="0" borderId="19" xfId="0" applyFont="1" applyBorder="1" applyAlignment="1">
      <alignment horizontal="center"/>
    </xf>
    <xf numFmtId="0" fontId="26" fillId="21" borderId="19" xfId="0" applyFont="1" applyFill="1" applyBorder="1" applyAlignment="1">
      <alignment horizontal="center"/>
    </xf>
    <xf numFmtId="0" fontId="2" fillId="22" borderId="13" xfId="0" applyFont="1" applyFill="1" applyBorder="1" applyAlignment="1">
      <alignment horizontal="center"/>
    </xf>
    <xf numFmtId="0" fontId="0" fillId="0" borderId="13" xfId="0" applyFont="1" applyFill="1" applyBorder="1" applyAlignment="1">
      <alignment horizontal="center"/>
    </xf>
    <xf numFmtId="0" fontId="28" fillId="0" borderId="36" xfId="0" applyFont="1" applyBorder="1" applyAlignment="1">
      <alignment horizontal="left" vertical="top" wrapText="1"/>
    </xf>
    <xf numFmtId="0" fontId="28" fillId="0" borderId="19" xfId="0" applyFont="1" applyBorder="1" applyAlignment="1">
      <alignment horizontal="left" vertical="top"/>
    </xf>
    <xf numFmtId="0" fontId="0" fillId="0" borderId="19" xfId="0" applyBorder="1" applyAlignment="1">
      <alignment horizontal="left"/>
    </xf>
    <xf numFmtId="0" fontId="0" fillId="0" borderId="11" xfId="0" applyBorder="1" applyAlignment="1">
      <alignment horizontal="left"/>
    </xf>
  </cellXfs>
  <cellStyles count="3">
    <cellStyle name="Hyperlink" xfId="1" builtinId="8"/>
    <cellStyle name="Procent" xfId="2" builtinId="5"/>
    <cellStyle name="Standaard" xfId="0" builtinId="0"/>
  </cellStyles>
  <dxfs count="42">
    <dxf>
      <fill>
        <patternFill>
          <bgColor theme="5" tint="0.39994506668294322"/>
        </patternFill>
      </fill>
    </dxf>
    <dxf>
      <fill>
        <patternFill>
          <bgColor rgb="FFFFCC66"/>
        </patternFill>
      </fill>
    </dxf>
    <dxf>
      <fill>
        <patternFill>
          <bgColor rgb="FFFFFF66"/>
        </patternFill>
      </fill>
    </dxf>
    <dxf>
      <fill>
        <patternFill>
          <bgColor theme="6" tint="0.39994506668294322"/>
        </patternFill>
      </fill>
    </dxf>
    <dxf>
      <fill>
        <patternFill>
          <bgColor theme="5" tint="0.39994506668294322"/>
        </patternFill>
      </fill>
    </dxf>
    <dxf>
      <fill>
        <patternFill>
          <bgColor rgb="FFFFCC66"/>
        </patternFill>
      </fill>
    </dxf>
    <dxf>
      <fill>
        <patternFill>
          <bgColor rgb="FFFFFF66"/>
        </patternFill>
      </fill>
    </dxf>
    <dxf>
      <fill>
        <patternFill>
          <bgColor theme="6" tint="0.39994506668294322"/>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theme="5" tint="0.59996337778862885"/>
        </patternFill>
      </fill>
    </dxf>
    <dxf>
      <fill>
        <patternFill>
          <bgColor theme="9" tint="0.59996337778862885"/>
        </patternFill>
      </fill>
    </dxf>
    <dxf>
      <fill>
        <patternFill>
          <bgColor rgb="FFFFFFCC"/>
        </patternFill>
      </fill>
    </dxf>
    <dxf>
      <fill>
        <patternFill>
          <bgColor rgb="FFB5F090"/>
        </patternFill>
      </fill>
    </dxf>
    <dxf>
      <fill>
        <patternFill>
          <bgColor theme="5" tint="0.39994506668294322"/>
        </patternFill>
      </fill>
    </dxf>
    <dxf>
      <fill>
        <patternFill>
          <bgColor rgb="FFFFCC66"/>
        </patternFill>
      </fill>
    </dxf>
    <dxf>
      <fill>
        <patternFill>
          <bgColor rgb="FFFFFF66"/>
        </patternFill>
      </fill>
    </dxf>
    <dxf>
      <fill>
        <patternFill>
          <bgColor theme="6" tint="0.39994506668294322"/>
        </patternFill>
      </fill>
    </dxf>
    <dxf>
      <fill>
        <patternFill>
          <bgColor theme="5" tint="0.39994506668294322"/>
        </patternFill>
      </fill>
    </dxf>
    <dxf>
      <fill>
        <patternFill>
          <bgColor rgb="FFFFCC66"/>
        </patternFill>
      </fill>
    </dxf>
    <dxf>
      <fill>
        <patternFill>
          <bgColor rgb="FFFFFF66"/>
        </patternFill>
      </fill>
    </dxf>
    <dxf>
      <fill>
        <patternFill>
          <bgColor theme="6" tint="0.39994506668294322"/>
        </patternFill>
      </fill>
    </dxf>
    <dxf>
      <fill>
        <patternFill patternType="none">
          <fgColor indexed="64"/>
          <bgColor auto="1"/>
        </patternFill>
      </fill>
    </dxf>
    <dxf>
      <font>
        <b val="0"/>
        <i val="0"/>
        <strike val="0"/>
        <condense val="0"/>
        <extend val="0"/>
        <outline val="0"/>
        <shadow val="0"/>
        <u val="none"/>
        <vertAlign val="baseline"/>
        <sz val="10"/>
        <color theme="1"/>
        <name val="Verdana"/>
        <family val="2"/>
        <scheme val="none"/>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Verdana"/>
        <family val="2"/>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0"/>
        <color theme="1"/>
        <name val="Verdana"/>
        <family val="2"/>
        <scheme val="none"/>
      </font>
      <fill>
        <patternFill patternType="none">
          <fgColor indexed="64"/>
          <bgColor auto="1"/>
        </patternFill>
      </fill>
      <alignment horizontal="general" vertical="top" textRotation="0" wrapText="1" indent="0" justifyLastLine="0" shrinkToFit="0" readingOrder="0"/>
    </dxf>
    <dxf>
      <fill>
        <patternFill patternType="none">
          <fgColor indexed="64"/>
          <bgColor auto="1"/>
        </patternFill>
      </fill>
    </dxf>
    <dxf>
      <fill>
        <patternFill patternType="none">
          <fgColor indexed="64"/>
          <bgColor auto="1"/>
        </patternFill>
      </fill>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0"/>
        <color theme="1"/>
        <name val="Verdana"/>
        <family val="2"/>
        <scheme val="none"/>
      </font>
      <alignment horizontal="general" vertical="top" textRotation="0" wrapText="1" indent="0" justifyLastLine="0" shrinkToFit="0" readingOrder="0"/>
    </dxf>
  </dxfs>
  <tableStyles count="0" defaultTableStyle="TableStyleMedium9" defaultPivotStyle="PivotStyleLight16"/>
  <colors>
    <mruColors>
      <color rgb="FF29650B"/>
      <color rgb="FFD6F7C1"/>
      <color rgb="FFB5F090"/>
      <color rgb="FFB8E86A"/>
      <color rgb="FFFFFFCC"/>
      <color rgb="FFFFCC66"/>
      <color rgb="FFFFD54F"/>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spc="0" baseline="0">
                <a:solidFill>
                  <a:schemeClr val="tx1">
                    <a:lumMod val="65000"/>
                    <a:lumOff val="35000"/>
                  </a:schemeClr>
                </a:solidFill>
                <a:latin typeface="Verdana" panose="020B0604030504040204" pitchFamily="34" charset="0"/>
                <a:ea typeface="Verdana" panose="020B0604030504040204" pitchFamily="34" charset="0"/>
                <a:cs typeface="+mn-cs"/>
              </a:defRPr>
            </a:pPr>
            <a:r>
              <a:rPr lang="nl-NL" sz="1000" b="1">
                <a:latin typeface="Verdana" panose="020B0604030504040204" pitchFamily="34" charset="0"/>
                <a:ea typeface="Verdana" panose="020B0604030504040204" pitchFamily="34" charset="0"/>
              </a:rPr>
              <a:t>DUTO-score</a:t>
            </a:r>
            <a:r>
              <a:rPr lang="nl-NL" sz="1000" b="1" baseline="0">
                <a:latin typeface="Verdana" panose="020B0604030504040204" pitchFamily="34" charset="0"/>
                <a:ea typeface="Verdana" panose="020B0604030504040204" pitchFamily="34" charset="0"/>
              </a:rPr>
              <a:t> per categorie (%)</a:t>
            </a:r>
            <a:endParaRPr lang="nl-NL" sz="1000" b="1">
              <a:latin typeface="Verdana" panose="020B0604030504040204" pitchFamily="34" charset="0"/>
              <a:ea typeface="Verdana" panose="020B0604030504040204" pitchFamily="34" charset="0"/>
            </a:endParaRPr>
          </a:p>
        </c:rich>
      </c:tx>
      <c:layout>
        <c:manualLayout>
          <c:xMode val="edge"/>
          <c:yMode val="edge"/>
          <c:x val="0.35666741455388534"/>
          <c:y val="1.3958943121153734E-2"/>
        </c:manualLayout>
      </c:layout>
      <c:overlay val="0"/>
      <c:spPr>
        <a:noFill/>
        <a:ln>
          <a:noFill/>
        </a:ln>
        <a:effectLst/>
      </c:spPr>
      <c:txPr>
        <a:bodyPr rot="0" spcFirstLastPara="1" vertOverflow="ellipsis" vert="horz" wrap="square" anchor="ctr" anchorCtr="1"/>
        <a:lstStyle/>
        <a:p>
          <a:pPr>
            <a:defRPr sz="1000" b="1" i="0" u="none" strike="noStrike" kern="1200" spc="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nl-NL"/>
        </a:p>
      </c:txPr>
    </c:title>
    <c:autoTitleDeleted val="0"/>
    <c:plotArea>
      <c:layout/>
      <c:barChart>
        <c:barDir val="col"/>
        <c:grouping val="stacked"/>
        <c:varyColors val="0"/>
        <c:ser>
          <c:idx val="0"/>
          <c:order val="0"/>
          <c:tx>
            <c:strRef>
              <c:f>'4. Dashboard'!$C$26</c:f>
              <c:strCache>
                <c:ptCount val="1"/>
                <c:pt idx="0">
                  <c:v>Rood</c:v>
                </c:pt>
              </c:strCache>
            </c:strRef>
          </c:tx>
          <c:spPr>
            <a:solidFill>
              <a:srgbClr val="FF0000"/>
            </a:solidFill>
            <a:ln>
              <a:noFill/>
            </a:ln>
            <a:effectLst/>
          </c:spPr>
          <c:invertIfNegative val="0"/>
          <c:cat>
            <c:strRef>
              <c:f>'4. Dashboard'!$A$27:$A$34</c:f>
              <c:strCache>
                <c:ptCount val="8"/>
                <c:pt idx="0">
                  <c:v>Governance en beheer</c:v>
                </c:pt>
                <c:pt idx="1">
                  <c:v>Registratie en metadata</c:v>
                </c:pt>
                <c:pt idx="2">
                  <c:v>Structuur en classificatie</c:v>
                </c:pt>
                <c:pt idx="3">
                  <c:v>Bewaren en integriteit</c:v>
                </c:pt>
                <c:pt idx="4">
                  <c:v>Toegang en beveiliging</c:v>
                </c:pt>
                <c:pt idx="5">
                  <c:v>Beschikbaarheid en gebruik</c:v>
                </c:pt>
                <c:pt idx="6">
                  <c:v>Beheerprocessen</c:v>
                </c:pt>
                <c:pt idx="7">
                  <c:v>Kwaliteitscontrole informatiebeheer</c:v>
                </c:pt>
              </c:strCache>
            </c:strRef>
          </c:cat>
          <c:val>
            <c:numRef>
              <c:f>'4. Dashboard'!$C$27:$C$34</c:f>
              <c:numCache>
                <c:formatCode>General</c:formatCode>
                <c:ptCount val="8"/>
                <c:pt idx="0">
                  <c:v>0.2</c:v>
                </c:pt>
                <c:pt idx="1">
                  <c:v>0.2</c:v>
                </c:pt>
                <c:pt idx="2">
                  <c:v>0.2</c:v>
                </c:pt>
                <c:pt idx="3">
                  <c:v>0.2</c:v>
                </c:pt>
                <c:pt idx="4">
                  <c:v>0.2</c:v>
                </c:pt>
                <c:pt idx="5">
                  <c:v>0.2</c:v>
                </c:pt>
                <c:pt idx="6">
                  <c:v>0.2</c:v>
                </c:pt>
                <c:pt idx="7">
                  <c:v>0.2</c:v>
                </c:pt>
              </c:numCache>
            </c:numRef>
          </c:val>
          <c:extLst>
            <c:ext xmlns:c16="http://schemas.microsoft.com/office/drawing/2014/chart" uri="{C3380CC4-5D6E-409C-BE32-E72D297353CC}">
              <c16:uniqueId val="{00000000-4D29-452A-86F5-83BAD94BEBF1}"/>
            </c:ext>
          </c:extLst>
        </c:ser>
        <c:ser>
          <c:idx val="1"/>
          <c:order val="1"/>
          <c:tx>
            <c:strRef>
              <c:f>'4. Dashboard'!$D$26</c:f>
              <c:strCache>
                <c:ptCount val="1"/>
                <c:pt idx="0">
                  <c:v>Oranje</c:v>
                </c:pt>
              </c:strCache>
            </c:strRef>
          </c:tx>
          <c:spPr>
            <a:solidFill>
              <a:srgbClr val="FFC000"/>
            </a:solidFill>
            <a:ln>
              <a:noFill/>
            </a:ln>
            <a:effectLst/>
          </c:spPr>
          <c:invertIfNegative val="0"/>
          <c:cat>
            <c:strRef>
              <c:f>'4. Dashboard'!$A$27:$A$34</c:f>
              <c:strCache>
                <c:ptCount val="8"/>
                <c:pt idx="0">
                  <c:v>Governance en beheer</c:v>
                </c:pt>
                <c:pt idx="1">
                  <c:v>Registratie en metadata</c:v>
                </c:pt>
                <c:pt idx="2">
                  <c:v>Structuur en classificatie</c:v>
                </c:pt>
                <c:pt idx="3">
                  <c:v>Bewaren en integriteit</c:v>
                </c:pt>
                <c:pt idx="4">
                  <c:v>Toegang en beveiliging</c:v>
                </c:pt>
                <c:pt idx="5">
                  <c:v>Beschikbaarheid en gebruik</c:v>
                </c:pt>
                <c:pt idx="6">
                  <c:v>Beheerprocessen</c:v>
                </c:pt>
                <c:pt idx="7">
                  <c:v>Kwaliteitscontrole informatiebeheer</c:v>
                </c:pt>
              </c:strCache>
            </c:strRef>
          </c:cat>
          <c:val>
            <c:numRef>
              <c:f>'4. Dashboard'!$D$27:$D$34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4D29-452A-86F5-83BAD94BEBF1}"/>
            </c:ext>
          </c:extLst>
        </c:ser>
        <c:ser>
          <c:idx val="2"/>
          <c:order val="2"/>
          <c:tx>
            <c:strRef>
              <c:f>'4. Dashboard'!$E$26</c:f>
              <c:strCache>
                <c:ptCount val="1"/>
                <c:pt idx="0">
                  <c:v>Geel</c:v>
                </c:pt>
              </c:strCache>
            </c:strRef>
          </c:tx>
          <c:spPr>
            <a:solidFill>
              <a:srgbClr val="FFFF00"/>
            </a:solidFill>
            <a:ln>
              <a:noFill/>
            </a:ln>
            <a:effectLst/>
          </c:spPr>
          <c:invertIfNegative val="0"/>
          <c:cat>
            <c:strRef>
              <c:f>'4. Dashboard'!$A$27:$A$34</c:f>
              <c:strCache>
                <c:ptCount val="8"/>
                <c:pt idx="0">
                  <c:v>Governance en beheer</c:v>
                </c:pt>
                <c:pt idx="1">
                  <c:v>Registratie en metadata</c:v>
                </c:pt>
                <c:pt idx="2">
                  <c:v>Structuur en classificatie</c:v>
                </c:pt>
                <c:pt idx="3">
                  <c:v>Bewaren en integriteit</c:v>
                </c:pt>
                <c:pt idx="4">
                  <c:v>Toegang en beveiliging</c:v>
                </c:pt>
                <c:pt idx="5">
                  <c:v>Beschikbaarheid en gebruik</c:v>
                </c:pt>
                <c:pt idx="6">
                  <c:v>Beheerprocessen</c:v>
                </c:pt>
                <c:pt idx="7">
                  <c:v>Kwaliteitscontrole informatiebeheer</c:v>
                </c:pt>
              </c:strCache>
            </c:strRef>
          </c:cat>
          <c:val>
            <c:numRef>
              <c:f>'4. Dashboard'!$E$27:$E$34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2-4D29-452A-86F5-83BAD94BEBF1}"/>
            </c:ext>
          </c:extLst>
        </c:ser>
        <c:ser>
          <c:idx val="3"/>
          <c:order val="3"/>
          <c:tx>
            <c:strRef>
              <c:f>'4. Dashboard'!$F$26</c:f>
              <c:strCache>
                <c:ptCount val="1"/>
                <c:pt idx="0">
                  <c:v>Groen</c:v>
                </c:pt>
              </c:strCache>
            </c:strRef>
          </c:tx>
          <c:spPr>
            <a:solidFill>
              <a:srgbClr val="00B050"/>
            </a:solidFill>
            <a:ln>
              <a:solidFill>
                <a:srgbClr val="00B050"/>
              </a:solidFill>
            </a:ln>
            <a:effectLst/>
          </c:spPr>
          <c:invertIfNegative val="0"/>
          <c:cat>
            <c:strRef>
              <c:f>'4. Dashboard'!$A$27:$A$34</c:f>
              <c:strCache>
                <c:ptCount val="8"/>
                <c:pt idx="0">
                  <c:v>Governance en beheer</c:v>
                </c:pt>
                <c:pt idx="1">
                  <c:v>Registratie en metadata</c:v>
                </c:pt>
                <c:pt idx="2">
                  <c:v>Structuur en classificatie</c:v>
                </c:pt>
                <c:pt idx="3">
                  <c:v>Bewaren en integriteit</c:v>
                </c:pt>
                <c:pt idx="4">
                  <c:v>Toegang en beveiliging</c:v>
                </c:pt>
                <c:pt idx="5">
                  <c:v>Beschikbaarheid en gebruik</c:v>
                </c:pt>
                <c:pt idx="6">
                  <c:v>Beheerprocessen</c:v>
                </c:pt>
                <c:pt idx="7">
                  <c:v>Kwaliteitscontrole informatiebeheer</c:v>
                </c:pt>
              </c:strCache>
            </c:strRef>
          </c:cat>
          <c:val>
            <c:numRef>
              <c:f>'4. Dashboard'!$F$27:$F$34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3-4D29-452A-86F5-83BAD94BEBF1}"/>
            </c:ext>
          </c:extLst>
        </c:ser>
        <c:dLbls>
          <c:showLegendKey val="0"/>
          <c:showVal val="0"/>
          <c:showCatName val="0"/>
          <c:showSerName val="0"/>
          <c:showPercent val="0"/>
          <c:showBubbleSize val="0"/>
        </c:dLbls>
        <c:gapWidth val="219"/>
        <c:overlap val="100"/>
        <c:axId val="235900624"/>
        <c:axId val="235897744"/>
      </c:barChart>
      <c:catAx>
        <c:axId val="2359006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35897744"/>
        <c:crosses val="autoZero"/>
        <c:auto val="1"/>
        <c:lblAlgn val="ctr"/>
        <c:lblOffset val="100"/>
        <c:noMultiLvlLbl val="0"/>
      </c:catAx>
      <c:valAx>
        <c:axId val="235897744"/>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35900624"/>
        <c:crosses val="autoZero"/>
        <c:crossBetween val="between"/>
        <c:majorUnit val="0.25"/>
      </c:valAx>
      <c:spPr>
        <a:noFill/>
        <a:ln>
          <a:noFill/>
        </a:ln>
        <a:effectLst/>
      </c:spPr>
    </c:plotArea>
    <c:plotVisOnly val="0"/>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sz="1000" b="1" i="0" u="none" strike="noStrike" baseline="0">
                <a:latin typeface="Verdana" panose="020B0604030504040204" pitchFamily="34" charset="0"/>
                <a:ea typeface="Verdana" panose="020B0604030504040204" pitchFamily="34" charset="0"/>
              </a:rPr>
              <a:t>DUTO-score per domein (%)</a:t>
            </a:r>
            <a:endParaRPr lang="nl-NL" sz="1000" b="1">
              <a:latin typeface="Verdana" panose="020B0604030504040204" pitchFamily="34" charset="0"/>
              <a:ea typeface="Verdana" panose="020B060403050404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stacked"/>
        <c:varyColors val="0"/>
        <c:ser>
          <c:idx val="0"/>
          <c:order val="0"/>
          <c:tx>
            <c:strRef>
              <c:f>'4. Dashboard'!$C$1</c:f>
              <c:strCache>
                <c:ptCount val="1"/>
                <c:pt idx="0">
                  <c:v>Rood</c:v>
                </c:pt>
              </c:strCache>
            </c:strRef>
          </c:tx>
          <c:spPr>
            <a:solidFill>
              <a:srgbClr val="FF0000"/>
            </a:solidFill>
            <a:ln>
              <a:noFill/>
            </a:ln>
            <a:effectLst/>
          </c:spPr>
          <c:invertIfNegative val="0"/>
          <c:cat>
            <c:strRef>
              <c:f>'4. Dashboard'!$A$2:$A$6</c:f>
              <c:strCache>
                <c:ptCount val="5"/>
                <c:pt idx="0">
                  <c:v>Governance</c:v>
                </c:pt>
                <c:pt idx="1">
                  <c:v>Metadata</c:v>
                </c:pt>
                <c:pt idx="2">
                  <c:v>Techniek</c:v>
                </c:pt>
                <c:pt idx="3">
                  <c:v>Lifecycle</c:v>
                </c:pt>
                <c:pt idx="4">
                  <c:v>Toegang</c:v>
                </c:pt>
              </c:strCache>
            </c:strRef>
          </c:cat>
          <c:val>
            <c:numRef>
              <c:f>'4. Dashboard'!$C$2:$C$6</c:f>
              <c:numCache>
                <c:formatCode>General</c:formatCode>
                <c:ptCount val="5"/>
                <c:pt idx="0">
                  <c:v>0.2</c:v>
                </c:pt>
                <c:pt idx="1">
                  <c:v>0.2</c:v>
                </c:pt>
                <c:pt idx="2">
                  <c:v>0.2</c:v>
                </c:pt>
                <c:pt idx="3">
                  <c:v>0.2</c:v>
                </c:pt>
                <c:pt idx="4">
                  <c:v>0.2</c:v>
                </c:pt>
              </c:numCache>
            </c:numRef>
          </c:val>
          <c:extLst>
            <c:ext xmlns:c16="http://schemas.microsoft.com/office/drawing/2014/chart" uri="{C3380CC4-5D6E-409C-BE32-E72D297353CC}">
              <c16:uniqueId val="{00000000-47B0-415E-AE6D-031C7559FFC3}"/>
            </c:ext>
          </c:extLst>
        </c:ser>
        <c:ser>
          <c:idx val="1"/>
          <c:order val="1"/>
          <c:tx>
            <c:strRef>
              <c:f>'4. Dashboard'!$D$1</c:f>
              <c:strCache>
                <c:ptCount val="1"/>
                <c:pt idx="0">
                  <c:v>Oranje</c:v>
                </c:pt>
              </c:strCache>
            </c:strRef>
          </c:tx>
          <c:spPr>
            <a:solidFill>
              <a:srgbClr val="FFC000"/>
            </a:solidFill>
            <a:ln>
              <a:noFill/>
            </a:ln>
            <a:effectLst/>
          </c:spPr>
          <c:invertIfNegative val="0"/>
          <c:cat>
            <c:strRef>
              <c:f>'4. Dashboard'!$A$2:$A$6</c:f>
              <c:strCache>
                <c:ptCount val="5"/>
                <c:pt idx="0">
                  <c:v>Governance</c:v>
                </c:pt>
                <c:pt idx="1">
                  <c:v>Metadata</c:v>
                </c:pt>
                <c:pt idx="2">
                  <c:v>Techniek</c:v>
                </c:pt>
                <c:pt idx="3">
                  <c:v>Lifecycle</c:v>
                </c:pt>
                <c:pt idx="4">
                  <c:v>Toegang</c:v>
                </c:pt>
              </c:strCache>
            </c:strRef>
          </c:cat>
          <c:val>
            <c:numRef>
              <c:f>'4. Dashboard'!$D$2:$D$6</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1-47B0-415E-AE6D-031C7559FFC3}"/>
            </c:ext>
          </c:extLst>
        </c:ser>
        <c:ser>
          <c:idx val="2"/>
          <c:order val="2"/>
          <c:tx>
            <c:strRef>
              <c:f>'4. Dashboard'!$E$1</c:f>
              <c:strCache>
                <c:ptCount val="1"/>
                <c:pt idx="0">
                  <c:v>Geel</c:v>
                </c:pt>
              </c:strCache>
            </c:strRef>
          </c:tx>
          <c:spPr>
            <a:solidFill>
              <a:srgbClr val="FFFF00"/>
            </a:solidFill>
            <a:ln>
              <a:noFill/>
            </a:ln>
            <a:effectLst/>
          </c:spPr>
          <c:invertIfNegative val="0"/>
          <c:dPt>
            <c:idx val="0"/>
            <c:invertIfNegative val="0"/>
            <c:bubble3D val="0"/>
            <c:spPr>
              <a:solidFill>
                <a:srgbClr val="FFFF00"/>
              </a:solidFill>
              <a:ln>
                <a:noFill/>
              </a:ln>
              <a:effectLst/>
            </c:spPr>
            <c:extLst>
              <c:ext xmlns:c16="http://schemas.microsoft.com/office/drawing/2014/chart" uri="{C3380CC4-5D6E-409C-BE32-E72D297353CC}">
                <c16:uniqueId val="{00000006-47B0-415E-AE6D-031C7559FFC3}"/>
              </c:ext>
            </c:extLst>
          </c:dPt>
          <c:dPt>
            <c:idx val="2"/>
            <c:invertIfNegative val="0"/>
            <c:bubble3D val="0"/>
            <c:spPr>
              <a:solidFill>
                <a:srgbClr val="FFFF00"/>
              </a:solidFill>
              <a:ln>
                <a:noFill/>
              </a:ln>
              <a:effectLst/>
            </c:spPr>
            <c:extLst>
              <c:ext xmlns:c16="http://schemas.microsoft.com/office/drawing/2014/chart" uri="{C3380CC4-5D6E-409C-BE32-E72D297353CC}">
                <c16:uniqueId val="{00000003-47B0-415E-AE6D-031C7559FFC3}"/>
              </c:ext>
            </c:extLst>
          </c:dPt>
          <c:cat>
            <c:strRef>
              <c:f>'4. Dashboard'!$A$2:$A$6</c:f>
              <c:strCache>
                <c:ptCount val="5"/>
                <c:pt idx="0">
                  <c:v>Governance</c:v>
                </c:pt>
                <c:pt idx="1">
                  <c:v>Metadata</c:v>
                </c:pt>
                <c:pt idx="2">
                  <c:v>Techniek</c:v>
                </c:pt>
                <c:pt idx="3">
                  <c:v>Lifecycle</c:v>
                </c:pt>
                <c:pt idx="4">
                  <c:v>Toegang</c:v>
                </c:pt>
              </c:strCache>
            </c:strRef>
          </c:cat>
          <c:val>
            <c:numRef>
              <c:f>'4. Dashboard'!$E$2:$E$6</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4-47B0-415E-AE6D-031C7559FFC3}"/>
            </c:ext>
          </c:extLst>
        </c:ser>
        <c:ser>
          <c:idx val="3"/>
          <c:order val="3"/>
          <c:tx>
            <c:strRef>
              <c:f>'4. Dashboard'!$F$1</c:f>
              <c:strCache>
                <c:ptCount val="1"/>
                <c:pt idx="0">
                  <c:v>Groen</c:v>
                </c:pt>
              </c:strCache>
            </c:strRef>
          </c:tx>
          <c:spPr>
            <a:solidFill>
              <a:srgbClr val="00B050"/>
            </a:solidFill>
            <a:ln>
              <a:noFill/>
            </a:ln>
            <a:effectLst/>
          </c:spPr>
          <c:invertIfNegative val="0"/>
          <c:cat>
            <c:strRef>
              <c:f>'4. Dashboard'!$A$2:$A$6</c:f>
              <c:strCache>
                <c:ptCount val="5"/>
                <c:pt idx="0">
                  <c:v>Governance</c:v>
                </c:pt>
                <c:pt idx="1">
                  <c:v>Metadata</c:v>
                </c:pt>
                <c:pt idx="2">
                  <c:v>Techniek</c:v>
                </c:pt>
                <c:pt idx="3">
                  <c:v>Lifecycle</c:v>
                </c:pt>
                <c:pt idx="4">
                  <c:v>Toegang</c:v>
                </c:pt>
              </c:strCache>
            </c:strRef>
          </c:cat>
          <c:val>
            <c:numRef>
              <c:f>'4. Dashboard'!$F$2:$F$6</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5-47B0-415E-AE6D-031C7559FFC3}"/>
            </c:ext>
          </c:extLst>
        </c:ser>
        <c:dLbls>
          <c:showLegendKey val="0"/>
          <c:showVal val="0"/>
          <c:showCatName val="0"/>
          <c:showSerName val="0"/>
          <c:showPercent val="0"/>
          <c:showBubbleSize val="0"/>
        </c:dLbls>
        <c:gapWidth val="182"/>
        <c:overlap val="100"/>
        <c:axId val="1008286624"/>
        <c:axId val="1008285664"/>
      </c:barChart>
      <c:catAx>
        <c:axId val="10082866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8285664"/>
        <c:crosses val="autoZero"/>
        <c:auto val="1"/>
        <c:lblAlgn val="ctr"/>
        <c:lblOffset val="100"/>
        <c:noMultiLvlLbl val="0"/>
      </c:catAx>
      <c:valAx>
        <c:axId val="1008285664"/>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8286624"/>
        <c:crosses val="autoZero"/>
        <c:crossBetween val="between"/>
        <c:majorUnit val="0.25"/>
      </c:valAx>
      <c:spPr>
        <a:noFill/>
        <a:ln>
          <a:noFill/>
        </a:ln>
        <a:effectLst/>
      </c:spPr>
    </c:plotArea>
    <c:plotVisOnly val="0"/>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spc="0" baseline="0">
                <a:solidFill>
                  <a:schemeClr val="tx1">
                    <a:lumMod val="65000"/>
                    <a:lumOff val="35000"/>
                  </a:schemeClr>
                </a:solidFill>
                <a:latin typeface="Verdana" panose="020B0604030504040204" pitchFamily="34" charset="0"/>
                <a:ea typeface="Verdana" panose="020B0604030504040204" pitchFamily="34" charset="0"/>
                <a:cs typeface="+mn-cs"/>
              </a:defRPr>
            </a:pPr>
            <a:r>
              <a:rPr lang="nl-NL" sz="1000" b="1">
                <a:latin typeface="Verdana" panose="020B0604030504040204" pitchFamily="34" charset="0"/>
                <a:ea typeface="Verdana" panose="020B0604030504040204" pitchFamily="34" charset="0"/>
              </a:rPr>
              <a:t>Invulling</a:t>
            </a:r>
            <a:r>
              <a:rPr lang="nl-NL" sz="1000" b="1" baseline="0">
                <a:latin typeface="Verdana" panose="020B0604030504040204" pitchFamily="34" charset="0"/>
                <a:ea typeface="Verdana" panose="020B0604030504040204" pitchFamily="34" charset="0"/>
              </a:rPr>
              <a:t> DUTO-eisen per MoSCoW-classificatie</a:t>
            </a:r>
            <a:endParaRPr lang="nl-NL" sz="1000" b="1">
              <a:latin typeface="Verdana" panose="020B0604030504040204" pitchFamily="34" charset="0"/>
              <a:ea typeface="Verdana" panose="020B0604030504040204" pitchFamily="34" charset="0"/>
            </a:endParaRPr>
          </a:p>
        </c:rich>
      </c:tx>
      <c:overlay val="0"/>
      <c:spPr>
        <a:noFill/>
        <a:ln>
          <a:noFill/>
        </a:ln>
        <a:effectLst/>
      </c:spPr>
      <c:txPr>
        <a:bodyPr rot="0" spcFirstLastPara="1" vertOverflow="ellipsis" vert="horz" wrap="square" anchor="ctr" anchorCtr="1"/>
        <a:lstStyle/>
        <a:p>
          <a:pPr>
            <a:defRPr sz="1000" b="1" i="0" u="none" strike="noStrike" kern="1200" spc="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nl-NL"/>
        </a:p>
      </c:txPr>
    </c:title>
    <c:autoTitleDeleted val="0"/>
    <c:plotArea>
      <c:layout/>
      <c:barChart>
        <c:barDir val="col"/>
        <c:grouping val="clustered"/>
        <c:varyColors val="0"/>
        <c:ser>
          <c:idx val="1"/>
          <c:order val="1"/>
          <c:tx>
            <c:strRef>
              <c:f>'4. Dashboard'!$A$69</c:f>
              <c:strCache>
                <c:ptCount val="1"/>
                <c:pt idx="0">
                  <c:v>Must</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 Dashboard'!$D$67</c:f>
              <c:strCache>
                <c:ptCount val="1"/>
                <c:pt idx="0">
                  <c:v>% ingevuld</c:v>
                </c:pt>
              </c:strCache>
            </c:strRef>
          </c:cat>
          <c:val>
            <c:numRef>
              <c:f>'4. Dashboard'!$D$69</c:f>
              <c:numCache>
                <c:formatCode>0%</c:formatCode>
                <c:ptCount val="1"/>
                <c:pt idx="0">
                  <c:v>0</c:v>
                </c:pt>
              </c:numCache>
            </c:numRef>
          </c:val>
          <c:extLst>
            <c:ext xmlns:c16="http://schemas.microsoft.com/office/drawing/2014/chart" uri="{C3380CC4-5D6E-409C-BE32-E72D297353CC}">
              <c16:uniqueId val="{00000000-4D76-454C-B559-8898F067E8DF}"/>
            </c:ext>
          </c:extLst>
        </c:ser>
        <c:ser>
          <c:idx val="2"/>
          <c:order val="2"/>
          <c:tx>
            <c:strRef>
              <c:f>'4. Dashboard'!$A$70</c:f>
              <c:strCache>
                <c:ptCount val="1"/>
                <c:pt idx="0">
                  <c:v>Should</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 Dashboard'!$D$67</c:f>
              <c:strCache>
                <c:ptCount val="1"/>
                <c:pt idx="0">
                  <c:v>% ingevuld</c:v>
                </c:pt>
              </c:strCache>
            </c:strRef>
          </c:cat>
          <c:val>
            <c:numRef>
              <c:f>'4. Dashboard'!$D$70</c:f>
              <c:numCache>
                <c:formatCode>0%</c:formatCode>
                <c:ptCount val="1"/>
                <c:pt idx="0">
                  <c:v>0</c:v>
                </c:pt>
              </c:numCache>
            </c:numRef>
          </c:val>
          <c:extLst>
            <c:ext xmlns:c16="http://schemas.microsoft.com/office/drawing/2014/chart" uri="{C3380CC4-5D6E-409C-BE32-E72D297353CC}">
              <c16:uniqueId val="{00000001-4D76-454C-B559-8898F067E8DF}"/>
            </c:ext>
          </c:extLst>
        </c:ser>
        <c:ser>
          <c:idx val="3"/>
          <c:order val="3"/>
          <c:tx>
            <c:strRef>
              <c:f>'4. Dashboard'!$A$71</c:f>
              <c:strCache>
                <c:ptCount val="1"/>
                <c:pt idx="0">
                  <c:v>Could</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 Dashboard'!$D$67</c:f>
              <c:strCache>
                <c:ptCount val="1"/>
                <c:pt idx="0">
                  <c:v>% ingevuld</c:v>
                </c:pt>
              </c:strCache>
            </c:strRef>
          </c:cat>
          <c:val>
            <c:numRef>
              <c:f>'4. Dashboard'!$D$71</c:f>
              <c:numCache>
                <c:formatCode>0%</c:formatCode>
                <c:ptCount val="1"/>
                <c:pt idx="0">
                  <c:v>0</c:v>
                </c:pt>
              </c:numCache>
            </c:numRef>
          </c:val>
          <c:extLst>
            <c:ext xmlns:c16="http://schemas.microsoft.com/office/drawing/2014/chart" uri="{C3380CC4-5D6E-409C-BE32-E72D297353CC}">
              <c16:uniqueId val="{00000002-4D76-454C-B559-8898F067E8DF}"/>
            </c:ext>
          </c:extLst>
        </c:ser>
        <c:ser>
          <c:idx val="4"/>
          <c:order val="4"/>
          <c:tx>
            <c:strRef>
              <c:f>'4. Dashboard'!$A$72</c:f>
              <c:strCache>
                <c:ptCount val="1"/>
                <c:pt idx="0">
                  <c:v>Would</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 Dashboard'!$D$67</c:f>
              <c:strCache>
                <c:ptCount val="1"/>
                <c:pt idx="0">
                  <c:v>% ingevuld</c:v>
                </c:pt>
              </c:strCache>
            </c:strRef>
          </c:cat>
          <c:val>
            <c:numRef>
              <c:f>'4. Dashboard'!$D$72</c:f>
              <c:numCache>
                <c:formatCode>0%</c:formatCode>
                <c:ptCount val="1"/>
                <c:pt idx="0">
                  <c:v>0</c:v>
                </c:pt>
              </c:numCache>
            </c:numRef>
          </c:val>
          <c:extLst>
            <c:ext xmlns:c16="http://schemas.microsoft.com/office/drawing/2014/chart" uri="{C3380CC4-5D6E-409C-BE32-E72D297353CC}">
              <c16:uniqueId val="{00000003-4D76-454C-B559-8898F067E8DF}"/>
            </c:ext>
          </c:extLst>
        </c:ser>
        <c:dLbls>
          <c:dLblPos val="outEnd"/>
          <c:showLegendKey val="0"/>
          <c:showVal val="1"/>
          <c:showCatName val="0"/>
          <c:showSerName val="0"/>
          <c:showPercent val="0"/>
          <c:showBubbleSize val="0"/>
        </c:dLbls>
        <c:gapWidth val="219"/>
        <c:overlap val="-27"/>
        <c:axId val="1303466847"/>
        <c:axId val="1303475007"/>
        <c:extLst>
          <c:ext xmlns:c15="http://schemas.microsoft.com/office/drawing/2012/chart" uri="{02D57815-91ED-43cb-92C2-25804820EDAC}">
            <c15:filteredBarSeries>
              <c15:ser>
                <c:idx val="0"/>
                <c:order val="0"/>
                <c:tx>
                  <c:strRef>
                    <c:extLst>
                      <c:ext uri="{02D57815-91ED-43cb-92C2-25804820EDAC}">
                        <c15:formulaRef>
                          <c15:sqref>'4. Dashboard'!$A$68</c15:sqref>
                        </c15:formulaRef>
                      </c:ext>
                    </c:extLst>
                    <c:strCache>
                      <c:ptCount val="1"/>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ormulaRef>
                          <c15:sqref>'4. Dashboard'!$D$67</c15:sqref>
                        </c15:formulaRef>
                      </c:ext>
                    </c:extLst>
                    <c:strCache>
                      <c:ptCount val="1"/>
                      <c:pt idx="0">
                        <c:v>% ingevuld</c:v>
                      </c:pt>
                    </c:strCache>
                  </c:strRef>
                </c:cat>
                <c:val>
                  <c:numRef>
                    <c:extLst>
                      <c:ext uri="{02D57815-91ED-43cb-92C2-25804820EDAC}">
                        <c15:formulaRef>
                          <c15:sqref>'4. Dashboard'!$D$68</c15:sqref>
                        </c15:formulaRef>
                      </c:ext>
                    </c:extLst>
                    <c:numCache>
                      <c:formatCode>General</c:formatCode>
                      <c:ptCount val="1"/>
                    </c:numCache>
                  </c:numRef>
                </c:val>
                <c:extLst>
                  <c:ext xmlns:c16="http://schemas.microsoft.com/office/drawing/2014/chart" uri="{C3380CC4-5D6E-409C-BE32-E72D297353CC}">
                    <c16:uniqueId val="{00000004-4D76-454C-B559-8898F067E8DF}"/>
                  </c:ext>
                </c:extLst>
              </c15:ser>
            </c15:filteredBarSeries>
          </c:ext>
        </c:extLst>
      </c:barChart>
      <c:catAx>
        <c:axId val="1303466847"/>
        <c:scaling>
          <c:orientation val="minMax"/>
        </c:scaling>
        <c:delete val="1"/>
        <c:axPos val="b"/>
        <c:numFmt formatCode="General" sourceLinked="1"/>
        <c:majorTickMark val="none"/>
        <c:minorTickMark val="none"/>
        <c:tickLblPos val="nextTo"/>
        <c:crossAx val="1303475007"/>
        <c:crosses val="autoZero"/>
        <c:auto val="1"/>
        <c:lblAlgn val="ctr"/>
        <c:lblOffset val="100"/>
        <c:noMultiLvlLbl val="0"/>
      </c:catAx>
      <c:valAx>
        <c:axId val="1303475007"/>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303466847"/>
        <c:crosses val="autoZero"/>
        <c:crossBetween val="between"/>
      </c:valAx>
      <c:spPr>
        <a:noFill/>
        <a:ln>
          <a:noFill/>
        </a:ln>
        <a:effectLst/>
      </c:spPr>
    </c:plotArea>
    <c:legend>
      <c:legendPos val="b"/>
      <c:layout>
        <c:manualLayout>
          <c:xMode val="edge"/>
          <c:yMode val="edge"/>
          <c:x val="0.14501191002641151"/>
          <c:y val="0.94474590235958811"/>
          <c:w val="0.70262312382779935"/>
          <c:h val="4.076129440132740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0"/>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spc="0" baseline="0">
                <a:solidFill>
                  <a:schemeClr val="tx1">
                    <a:lumMod val="65000"/>
                    <a:lumOff val="35000"/>
                  </a:schemeClr>
                </a:solidFill>
                <a:latin typeface="Verdana" panose="020B0604030504040204" pitchFamily="34" charset="0"/>
                <a:ea typeface="Verdana" panose="020B0604030504040204" pitchFamily="34" charset="0"/>
                <a:cs typeface="+mn-cs"/>
              </a:defRPr>
            </a:pPr>
            <a:r>
              <a:rPr lang="nl-NL" sz="1000" b="1">
                <a:latin typeface="Verdana" panose="020B0604030504040204" pitchFamily="34" charset="0"/>
                <a:ea typeface="Verdana" panose="020B0604030504040204" pitchFamily="34" charset="0"/>
              </a:rPr>
              <a:t>Score per DUTO-functie</a:t>
            </a:r>
          </a:p>
        </c:rich>
      </c:tx>
      <c:overlay val="0"/>
      <c:spPr>
        <a:noFill/>
        <a:ln>
          <a:noFill/>
        </a:ln>
        <a:effectLst/>
      </c:spPr>
      <c:txPr>
        <a:bodyPr rot="0" spcFirstLastPara="1" vertOverflow="ellipsis" vert="horz" wrap="square" anchor="ctr" anchorCtr="1"/>
        <a:lstStyle/>
        <a:p>
          <a:pPr>
            <a:defRPr sz="1000" b="1" i="0" u="none" strike="noStrike" kern="1200" spc="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nl-NL"/>
        </a:p>
      </c:txPr>
    </c:title>
    <c:autoTitleDeleted val="0"/>
    <c:plotArea>
      <c:layout/>
      <c:barChart>
        <c:barDir val="bar"/>
        <c:grouping val="clustered"/>
        <c:varyColors val="0"/>
        <c:ser>
          <c:idx val="0"/>
          <c:order val="0"/>
          <c:tx>
            <c:strRef>
              <c:f>'4. Dashboard'!$C$49</c:f>
              <c:strCache>
                <c:ptCount val="1"/>
                <c:pt idx="0">
                  <c:v>Rood</c:v>
                </c:pt>
              </c:strCache>
            </c:strRef>
          </c:tx>
          <c:spPr>
            <a:solidFill>
              <a:srgbClr val="FF0000"/>
            </a:solidFill>
            <a:ln>
              <a:noFill/>
            </a:ln>
            <a:effectLst/>
          </c:spPr>
          <c:invertIfNegative val="0"/>
          <c:cat>
            <c:strRef>
              <c:f>'4. Dashboard'!$A$50:$A$64</c:f>
              <c:strCache>
                <c:ptCount val="15"/>
                <c:pt idx="0">
                  <c:v>Inwinning</c:v>
                </c:pt>
                <c:pt idx="1">
                  <c:v>Bevriezing</c:v>
                </c:pt>
                <c:pt idx="2">
                  <c:v>Conversie</c:v>
                </c:pt>
                <c:pt idx="3">
                  <c:v>Maskering</c:v>
                </c:pt>
                <c:pt idx="4">
                  <c:v>Metagegevensbeheer</c:v>
                </c:pt>
                <c:pt idx="5">
                  <c:v>Opname</c:v>
                </c:pt>
                <c:pt idx="6">
                  <c:v>Opslag</c:v>
                </c:pt>
                <c:pt idx="7">
                  <c:v>Publicatie</c:v>
                </c:pt>
                <c:pt idx="8">
                  <c:v>Representatie</c:v>
                </c:pt>
                <c:pt idx="9">
                  <c:v>Toegangsbeheer</c:v>
                </c:pt>
                <c:pt idx="10">
                  <c:v>Uitwisseling</c:v>
                </c:pt>
                <c:pt idx="11">
                  <c:v>Validatie</c:v>
                </c:pt>
                <c:pt idx="12">
                  <c:v>Verantwoording</c:v>
                </c:pt>
                <c:pt idx="13">
                  <c:v>Vernietiging</c:v>
                </c:pt>
                <c:pt idx="14">
                  <c:v>Zoeken</c:v>
                </c:pt>
              </c:strCache>
            </c:strRef>
          </c:cat>
          <c:val>
            <c:numRef>
              <c:f>'4. Dashboard'!$C$50:$C$64</c:f>
              <c:numCache>
                <c:formatCode>General</c:formatCode>
                <c:ptCount val="15"/>
                <c:pt idx="0">
                  <c:v>0.2</c:v>
                </c:pt>
                <c:pt idx="1">
                  <c:v>0.2</c:v>
                </c:pt>
                <c:pt idx="2">
                  <c:v>0.2</c:v>
                </c:pt>
                <c:pt idx="3">
                  <c:v>0.2</c:v>
                </c:pt>
                <c:pt idx="4">
                  <c:v>0.2</c:v>
                </c:pt>
                <c:pt idx="5">
                  <c:v>0.2</c:v>
                </c:pt>
                <c:pt idx="6">
                  <c:v>0.2</c:v>
                </c:pt>
                <c:pt idx="7">
                  <c:v>0.2</c:v>
                </c:pt>
                <c:pt idx="8">
                  <c:v>0.2</c:v>
                </c:pt>
                <c:pt idx="9">
                  <c:v>0.2</c:v>
                </c:pt>
                <c:pt idx="10">
                  <c:v>0.2</c:v>
                </c:pt>
                <c:pt idx="11">
                  <c:v>0.2</c:v>
                </c:pt>
                <c:pt idx="12">
                  <c:v>0.2</c:v>
                </c:pt>
                <c:pt idx="13">
                  <c:v>0.2</c:v>
                </c:pt>
                <c:pt idx="14">
                  <c:v>0.2</c:v>
                </c:pt>
              </c:numCache>
            </c:numRef>
          </c:val>
          <c:extLst>
            <c:ext xmlns:c16="http://schemas.microsoft.com/office/drawing/2014/chart" uri="{C3380CC4-5D6E-409C-BE32-E72D297353CC}">
              <c16:uniqueId val="{00000000-86DA-4B6C-B1F1-E0147AAFFEA5}"/>
            </c:ext>
          </c:extLst>
        </c:ser>
        <c:ser>
          <c:idx val="1"/>
          <c:order val="1"/>
          <c:tx>
            <c:strRef>
              <c:f>'4. Dashboard'!$D$49</c:f>
              <c:strCache>
                <c:ptCount val="1"/>
                <c:pt idx="0">
                  <c:v>Oranje</c:v>
                </c:pt>
              </c:strCache>
            </c:strRef>
          </c:tx>
          <c:spPr>
            <a:solidFill>
              <a:srgbClr val="FFC000"/>
            </a:solidFill>
            <a:ln>
              <a:noFill/>
            </a:ln>
            <a:effectLst/>
          </c:spPr>
          <c:invertIfNegative val="0"/>
          <c:cat>
            <c:strRef>
              <c:f>'4. Dashboard'!$A$50:$A$64</c:f>
              <c:strCache>
                <c:ptCount val="15"/>
                <c:pt idx="0">
                  <c:v>Inwinning</c:v>
                </c:pt>
                <c:pt idx="1">
                  <c:v>Bevriezing</c:v>
                </c:pt>
                <c:pt idx="2">
                  <c:v>Conversie</c:v>
                </c:pt>
                <c:pt idx="3">
                  <c:v>Maskering</c:v>
                </c:pt>
                <c:pt idx="4">
                  <c:v>Metagegevensbeheer</c:v>
                </c:pt>
                <c:pt idx="5">
                  <c:v>Opname</c:v>
                </c:pt>
                <c:pt idx="6">
                  <c:v>Opslag</c:v>
                </c:pt>
                <c:pt idx="7">
                  <c:v>Publicatie</c:v>
                </c:pt>
                <c:pt idx="8">
                  <c:v>Representatie</c:v>
                </c:pt>
                <c:pt idx="9">
                  <c:v>Toegangsbeheer</c:v>
                </c:pt>
                <c:pt idx="10">
                  <c:v>Uitwisseling</c:v>
                </c:pt>
                <c:pt idx="11">
                  <c:v>Validatie</c:v>
                </c:pt>
                <c:pt idx="12">
                  <c:v>Verantwoording</c:v>
                </c:pt>
                <c:pt idx="13">
                  <c:v>Vernietiging</c:v>
                </c:pt>
                <c:pt idx="14">
                  <c:v>Zoeken</c:v>
                </c:pt>
              </c:strCache>
            </c:strRef>
          </c:cat>
          <c:val>
            <c:numRef>
              <c:f>'4. Dashboard'!$D$50:$D$64</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1-86DA-4B6C-B1F1-E0147AAFFEA5}"/>
            </c:ext>
          </c:extLst>
        </c:ser>
        <c:ser>
          <c:idx val="2"/>
          <c:order val="2"/>
          <c:tx>
            <c:strRef>
              <c:f>'4. Dashboard'!$E$49</c:f>
              <c:strCache>
                <c:ptCount val="1"/>
                <c:pt idx="0">
                  <c:v>Geel</c:v>
                </c:pt>
              </c:strCache>
            </c:strRef>
          </c:tx>
          <c:spPr>
            <a:solidFill>
              <a:srgbClr val="FFFF00"/>
            </a:solidFill>
            <a:ln>
              <a:noFill/>
            </a:ln>
            <a:effectLst/>
          </c:spPr>
          <c:invertIfNegative val="0"/>
          <c:cat>
            <c:strRef>
              <c:f>'4. Dashboard'!$A$50:$A$64</c:f>
              <c:strCache>
                <c:ptCount val="15"/>
                <c:pt idx="0">
                  <c:v>Inwinning</c:v>
                </c:pt>
                <c:pt idx="1">
                  <c:v>Bevriezing</c:v>
                </c:pt>
                <c:pt idx="2">
                  <c:v>Conversie</c:v>
                </c:pt>
                <c:pt idx="3">
                  <c:v>Maskering</c:v>
                </c:pt>
                <c:pt idx="4">
                  <c:v>Metagegevensbeheer</c:v>
                </c:pt>
                <c:pt idx="5">
                  <c:v>Opname</c:v>
                </c:pt>
                <c:pt idx="6">
                  <c:v>Opslag</c:v>
                </c:pt>
                <c:pt idx="7">
                  <c:v>Publicatie</c:v>
                </c:pt>
                <c:pt idx="8">
                  <c:v>Representatie</c:v>
                </c:pt>
                <c:pt idx="9">
                  <c:v>Toegangsbeheer</c:v>
                </c:pt>
                <c:pt idx="10">
                  <c:v>Uitwisseling</c:v>
                </c:pt>
                <c:pt idx="11">
                  <c:v>Validatie</c:v>
                </c:pt>
                <c:pt idx="12">
                  <c:v>Verantwoording</c:v>
                </c:pt>
                <c:pt idx="13">
                  <c:v>Vernietiging</c:v>
                </c:pt>
                <c:pt idx="14">
                  <c:v>Zoeken</c:v>
                </c:pt>
              </c:strCache>
            </c:strRef>
          </c:cat>
          <c:val>
            <c:numRef>
              <c:f>'4. Dashboard'!$E$50:$E$64</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2-86DA-4B6C-B1F1-E0147AAFFEA5}"/>
            </c:ext>
          </c:extLst>
        </c:ser>
        <c:ser>
          <c:idx val="3"/>
          <c:order val="3"/>
          <c:tx>
            <c:strRef>
              <c:f>'4. Dashboard'!$F$49</c:f>
              <c:strCache>
                <c:ptCount val="1"/>
                <c:pt idx="0">
                  <c:v>Groen</c:v>
                </c:pt>
              </c:strCache>
            </c:strRef>
          </c:tx>
          <c:spPr>
            <a:solidFill>
              <a:srgbClr val="00B050"/>
            </a:solidFill>
            <a:ln>
              <a:noFill/>
            </a:ln>
            <a:effectLst/>
          </c:spPr>
          <c:invertIfNegative val="0"/>
          <c:cat>
            <c:strRef>
              <c:f>'4. Dashboard'!$A$50:$A$64</c:f>
              <c:strCache>
                <c:ptCount val="15"/>
                <c:pt idx="0">
                  <c:v>Inwinning</c:v>
                </c:pt>
                <c:pt idx="1">
                  <c:v>Bevriezing</c:v>
                </c:pt>
                <c:pt idx="2">
                  <c:v>Conversie</c:v>
                </c:pt>
                <c:pt idx="3">
                  <c:v>Maskering</c:v>
                </c:pt>
                <c:pt idx="4">
                  <c:v>Metagegevensbeheer</c:v>
                </c:pt>
                <c:pt idx="5">
                  <c:v>Opname</c:v>
                </c:pt>
                <c:pt idx="6">
                  <c:v>Opslag</c:v>
                </c:pt>
                <c:pt idx="7">
                  <c:v>Publicatie</c:v>
                </c:pt>
                <c:pt idx="8">
                  <c:v>Representatie</c:v>
                </c:pt>
                <c:pt idx="9">
                  <c:v>Toegangsbeheer</c:v>
                </c:pt>
                <c:pt idx="10">
                  <c:v>Uitwisseling</c:v>
                </c:pt>
                <c:pt idx="11">
                  <c:v>Validatie</c:v>
                </c:pt>
                <c:pt idx="12">
                  <c:v>Verantwoording</c:v>
                </c:pt>
                <c:pt idx="13">
                  <c:v>Vernietiging</c:v>
                </c:pt>
                <c:pt idx="14">
                  <c:v>Zoeken</c:v>
                </c:pt>
              </c:strCache>
            </c:strRef>
          </c:cat>
          <c:val>
            <c:numRef>
              <c:f>'4. Dashboard'!$F$50:$F$64</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3-86DA-4B6C-B1F1-E0147AAFFEA5}"/>
            </c:ext>
          </c:extLst>
        </c:ser>
        <c:dLbls>
          <c:showLegendKey val="0"/>
          <c:showVal val="0"/>
          <c:showCatName val="0"/>
          <c:showSerName val="0"/>
          <c:showPercent val="0"/>
          <c:showBubbleSize val="0"/>
        </c:dLbls>
        <c:gapWidth val="50"/>
        <c:overlap val="100"/>
        <c:axId val="510326367"/>
        <c:axId val="510324927"/>
      </c:barChart>
      <c:catAx>
        <c:axId val="51032636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10324927"/>
        <c:crosses val="autoZero"/>
        <c:auto val="1"/>
        <c:lblAlgn val="ctr"/>
        <c:lblOffset val="100"/>
        <c:noMultiLvlLbl val="0"/>
      </c:catAx>
      <c:valAx>
        <c:axId val="510324927"/>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10326367"/>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spc="0" baseline="0">
                <a:solidFill>
                  <a:schemeClr val="tx1">
                    <a:lumMod val="65000"/>
                    <a:lumOff val="35000"/>
                  </a:schemeClr>
                </a:solidFill>
                <a:latin typeface="Verdana" panose="020B0604030504040204" pitchFamily="34" charset="0"/>
                <a:ea typeface="Verdana" panose="020B0604030504040204" pitchFamily="34" charset="0"/>
                <a:cs typeface="+mn-cs"/>
              </a:defRPr>
            </a:pPr>
            <a:r>
              <a:rPr lang="en-US" sz="1000" b="1">
                <a:latin typeface="Verdana" panose="020B0604030504040204" pitchFamily="34" charset="0"/>
                <a:ea typeface="Verdana" panose="020B0604030504040204" pitchFamily="34" charset="0"/>
              </a:rPr>
              <a:t>Score per DUTO-kenmerk</a:t>
            </a:r>
          </a:p>
        </c:rich>
      </c:tx>
      <c:overlay val="0"/>
      <c:spPr>
        <a:noFill/>
        <a:ln>
          <a:noFill/>
        </a:ln>
        <a:effectLst/>
      </c:spPr>
      <c:txPr>
        <a:bodyPr rot="0" spcFirstLastPara="1" vertOverflow="ellipsis" vert="horz" wrap="square" anchor="ctr" anchorCtr="1"/>
        <a:lstStyle/>
        <a:p>
          <a:pPr>
            <a:defRPr sz="1000" b="1" i="0" u="none" strike="noStrike" kern="1200" spc="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nl-NL"/>
        </a:p>
      </c:txPr>
    </c:title>
    <c:autoTitleDeleted val="0"/>
    <c:plotArea>
      <c:layout/>
      <c:barChart>
        <c:barDir val="col"/>
        <c:grouping val="stacked"/>
        <c:varyColors val="0"/>
        <c:ser>
          <c:idx val="0"/>
          <c:order val="0"/>
          <c:spPr>
            <a:solidFill>
              <a:srgbClr val="FF0000"/>
            </a:solidFill>
            <a:ln>
              <a:noFill/>
            </a:ln>
            <a:effectLst/>
          </c:spPr>
          <c:invertIfNegative val="0"/>
          <c:cat>
            <c:strRef>
              <c:f>'4. Dashboard'!$A$41:$A$46</c:f>
              <c:strCache>
                <c:ptCount val="6"/>
                <c:pt idx="0">
                  <c:v>Vindbaar</c:v>
                </c:pt>
                <c:pt idx="1">
                  <c:v>Beschikbaar</c:v>
                </c:pt>
                <c:pt idx="2">
                  <c:v>Leesbaar</c:v>
                </c:pt>
                <c:pt idx="3">
                  <c:v>Interpreteerbaar</c:v>
                </c:pt>
                <c:pt idx="4">
                  <c:v>Betrouwbaar</c:v>
                </c:pt>
                <c:pt idx="5">
                  <c:v>Toekomstbestendig</c:v>
                </c:pt>
              </c:strCache>
            </c:strRef>
          </c:cat>
          <c:val>
            <c:numRef>
              <c:f>'4. Dashboard'!$C$41:$C$46</c:f>
              <c:numCache>
                <c:formatCode>General</c:formatCode>
                <c:ptCount val="6"/>
                <c:pt idx="0">
                  <c:v>0.2</c:v>
                </c:pt>
                <c:pt idx="1">
                  <c:v>0.2</c:v>
                </c:pt>
                <c:pt idx="2">
                  <c:v>0.2</c:v>
                </c:pt>
                <c:pt idx="3">
                  <c:v>0.2</c:v>
                </c:pt>
                <c:pt idx="4">
                  <c:v>0.2</c:v>
                </c:pt>
                <c:pt idx="5">
                  <c:v>0.2</c:v>
                </c:pt>
              </c:numCache>
            </c:numRef>
          </c:val>
          <c:extLst>
            <c:ext xmlns:c16="http://schemas.microsoft.com/office/drawing/2014/chart" uri="{C3380CC4-5D6E-409C-BE32-E72D297353CC}">
              <c16:uniqueId val="{00000000-9D79-4CE4-9E0D-2759C131AE29}"/>
            </c:ext>
          </c:extLst>
        </c:ser>
        <c:ser>
          <c:idx val="1"/>
          <c:order val="1"/>
          <c:spPr>
            <a:solidFill>
              <a:srgbClr val="FFC000"/>
            </a:solidFill>
            <a:ln>
              <a:noFill/>
            </a:ln>
            <a:effectLst/>
          </c:spPr>
          <c:invertIfNegative val="0"/>
          <c:cat>
            <c:strRef>
              <c:f>'4. Dashboard'!$A$41:$A$46</c:f>
              <c:strCache>
                <c:ptCount val="6"/>
                <c:pt idx="0">
                  <c:v>Vindbaar</c:v>
                </c:pt>
                <c:pt idx="1">
                  <c:v>Beschikbaar</c:v>
                </c:pt>
                <c:pt idx="2">
                  <c:v>Leesbaar</c:v>
                </c:pt>
                <c:pt idx="3">
                  <c:v>Interpreteerbaar</c:v>
                </c:pt>
                <c:pt idx="4">
                  <c:v>Betrouwbaar</c:v>
                </c:pt>
                <c:pt idx="5">
                  <c:v>Toekomstbestendig</c:v>
                </c:pt>
              </c:strCache>
              <c:extLst xmlns:c15="http://schemas.microsoft.com/office/drawing/2012/chart"/>
            </c:strRef>
          </c:cat>
          <c:val>
            <c:numRef>
              <c:f>'4. Dashboard'!$D$41:$D$46</c:f>
              <c:numCache>
                <c:formatCode>General</c:formatCode>
                <c:ptCount val="6"/>
                <c:pt idx="0">
                  <c:v>0</c:v>
                </c:pt>
                <c:pt idx="1">
                  <c:v>0</c:v>
                </c:pt>
                <c:pt idx="2">
                  <c:v>0</c:v>
                </c:pt>
                <c:pt idx="3">
                  <c:v>0</c:v>
                </c:pt>
                <c:pt idx="4">
                  <c:v>0</c:v>
                </c:pt>
                <c:pt idx="5">
                  <c:v>0</c:v>
                </c:pt>
              </c:numCache>
              <c:extLst xmlns:c15="http://schemas.microsoft.com/office/drawing/2012/chart"/>
            </c:numRef>
          </c:val>
          <c:extLst xmlns:c15="http://schemas.microsoft.com/office/drawing/2012/chart">
            <c:ext xmlns:c16="http://schemas.microsoft.com/office/drawing/2014/chart" uri="{C3380CC4-5D6E-409C-BE32-E72D297353CC}">
              <c16:uniqueId val="{00000003-9D79-4CE4-9E0D-2759C131AE29}"/>
            </c:ext>
          </c:extLst>
        </c:ser>
        <c:ser>
          <c:idx val="2"/>
          <c:order val="2"/>
          <c:spPr>
            <a:solidFill>
              <a:srgbClr val="FFFF00"/>
            </a:solidFill>
            <a:ln>
              <a:noFill/>
            </a:ln>
            <a:effectLst/>
          </c:spPr>
          <c:invertIfNegative val="0"/>
          <c:cat>
            <c:strRef>
              <c:f>'4. Dashboard'!$A$41:$A$46</c:f>
              <c:strCache>
                <c:ptCount val="6"/>
                <c:pt idx="0">
                  <c:v>Vindbaar</c:v>
                </c:pt>
                <c:pt idx="1">
                  <c:v>Beschikbaar</c:v>
                </c:pt>
                <c:pt idx="2">
                  <c:v>Leesbaar</c:v>
                </c:pt>
                <c:pt idx="3">
                  <c:v>Interpreteerbaar</c:v>
                </c:pt>
                <c:pt idx="4">
                  <c:v>Betrouwbaar</c:v>
                </c:pt>
                <c:pt idx="5">
                  <c:v>Toekomstbestendig</c:v>
                </c:pt>
              </c:strCache>
            </c:strRef>
          </c:cat>
          <c:val>
            <c:numRef>
              <c:f>'4. Dashboard'!$E$41:$E$46</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9D79-4CE4-9E0D-2759C131AE29}"/>
            </c:ext>
          </c:extLst>
        </c:ser>
        <c:ser>
          <c:idx val="3"/>
          <c:order val="3"/>
          <c:spPr>
            <a:solidFill>
              <a:srgbClr val="00B050"/>
            </a:solidFill>
            <a:ln>
              <a:noFill/>
            </a:ln>
            <a:effectLst/>
          </c:spPr>
          <c:invertIfNegative val="0"/>
          <c:cat>
            <c:strRef>
              <c:f>'4. Dashboard'!$A$41:$A$46</c:f>
              <c:strCache>
                <c:ptCount val="6"/>
                <c:pt idx="0">
                  <c:v>Vindbaar</c:v>
                </c:pt>
                <c:pt idx="1">
                  <c:v>Beschikbaar</c:v>
                </c:pt>
                <c:pt idx="2">
                  <c:v>Leesbaar</c:v>
                </c:pt>
                <c:pt idx="3">
                  <c:v>Interpreteerbaar</c:v>
                </c:pt>
                <c:pt idx="4">
                  <c:v>Betrouwbaar</c:v>
                </c:pt>
                <c:pt idx="5">
                  <c:v>Toekomstbestendig</c:v>
                </c:pt>
              </c:strCache>
            </c:strRef>
          </c:cat>
          <c:val>
            <c:numRef>
              <c:f>'4. Dashboard'!$F$41:$F$46</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9D79-4CE4-9E0D-2759C131AE29}"/>
            </c:ext>
          </c:extLst>
        </c:ser>
        <c:dLbls>
          <c:showLegendKey val="0"/>
          <c:showVal val="0"/>
          <c:showCatName val="0"/>
          <c:showSerName val="0"/>
          <c:showPercent val="0"/>
          <c:showBubbleSize val="0"/>
        </c:dLbls>
        <c:gapWidth val="219"/>
        <c:overlap val="100"/>
        <c:axId val="1011675391"/>
        <c:axId val="1011694591"/>
        <c:extLst/>
      </c:barChart>
      <c:catAx>
        <c:axId val="10116753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011694591"/>
        <c:crosses val="autoZero"/>
        <c:auto val="1"/>
        <c:lblAlgn val="ctr"/>
        <c:lblOffset val="100"/>
        <c:noMultiLvlLbl val="0"/>
      </c:catAx>
      <c:valAx>
        <c:axId val="1011694591"/>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011675391"/>
        <c:crosses val="autoZero"/>
        <c:crossBetween val="between"/>
        <c:majorUnit val="0.25"/>
      </c:valAx>
      <c:spPr>
        <a:noFill/>
        <a:ln>
          <a:noFill/>
        </a:ln>
        <a:effectLst/>
      </c:spPr>
    </c:plotArea>
    <c:plotVisOnly val="0"/>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spc="0" baseline="0">
                <a:solidFill>
                  <a:schemeClr val="tx1">
                    <a:lumMod val="65000"/>
                    <a:lumOff val="35000"/>
                  </a:schemeClr>
                </a:solidFill>
                <a:latin typeface="Verdana" panose="020B0604030504040204" pitchFamily="34" charset="0"/>
                <a:ea typeface="Verdana" panose="020B0604030504040204" pitchFamily="34" charset="0"/>
                <a:cs typeface="+mn-cs"/>
              </a:defRPr>
            </a:pPr>
            <a:r>
              <a:rPr lang="nl-NL" sz="1000" b="1">
                <a:latin typeface="Verdana" panose="020B0604030504040204" pitchFamily="34" charset="0"/>
                <a:ea typeface="Verdana" panose="020B0604030504040204" pitchFamily="34" charset="0"/>
              </a:rPr>
              <a:t>Score</a:t>
            </a:r>
            <a:r>
              <a:rPr lang="nl-NL" sz="1000" b="1" baseline="0">
                <a:latin typeface="Verdana" panose="020B0604030504040204" pitchFamily="34" charset="0"/>
                <a:ea typeface="Verdana" panose="020B0604030504040204" pitchFamily="34" charset="0"/>
              </a:rPr>
              <a:t> per DUTO-proces</a:t>
            </a:r>
            <a:endParaRPr lang="nl-NL" sz="1000" b="1">
              <a:latin typeface="Verdana" panose="020B0604030504040204" pitchFamily="34" charset="0"/>
              <a:ea typeface="Verdana" panose="020B0604030504040204" pitchFamily="34" charset="0"/>
            </a:endParaRPr>
          </a:p>
        </c:rich>
      </c:tx>
      <c:overlay val="0"/>
      <c:spPr>
        <a:noFill/>
        <a:ln>
          <a:noFill/>
        </a:ln>
        <a:effectLst/>
      </c:spPr>
      <c:txPr>
        <a:bodyPr rot="0" spcFirstLastPara="1" vertOverflow="ellipsis" vert="horz" wrap="square" anchor="ctr" anchorCtr="1"/>
        <a:lstStyle/>
        <a:p>
          <a:pPr>
            <a:defRPr sz="1000" b="1" i="0" u="none" strike="noStrike" kern="1200" spc="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nl-NL"/>
        </a:p>
      </c:txPr>
    </c:title>
    <c:autoTitleDeleted val="0"/>
    <c:plotArea>
      <c:layout/>
      <c:barChart>
        <c:barDir val="col"/>
        <c:grouping val="clustered"/>
        <c:varyColors val="0"/>
        <c:ser>
          <c:idx val="0"/>
          <c:order val="0"/>
          <c:tx>
            <c:strRef>
              <c:f>'4. Dashboard'!$G$76</c:f>
              <c:strCache>
                <c:ptCount val="1"/>
                <c:pt idx="0">
                  <c:v>Rood</c:v>
                </c:pt>
              </c:strCache>
            </c:strRef>
          </c:tx>
          <c:spPr>
            <a:solidFill>
              <a:srgbClr val="FF0000"/>
            </a:solidFill>
            <a:ln>
              <a:noFill/>
            </a:ln>
            <a:effectLst/>
          </c:spPr>
          <c:invertIfNegative val="0"/>
          <c:cat>
            <c:strRef>
              <c:f>'4. Dashboard'!$E$77:$E$81</c:f>
              <c:strCache>
                <c:ptCount val="5"/>
                <c:pt idx="0">
                  <c:v>Registratie</c:v>
                </c:pt>
                <c:pt idx="1">
                  <c:v>Migreren</c:v>
                </c:pt>
                <c:pt idx="2">
                  <c:v>Bewaren</c:v>
                </c:pt>
                <c:pt idx="3">
                  <c:v>Vernietigen</c:v>
                </c:pt>
                <c:pt idx="4">
                  <c:v>Ter beschikking stellen</c:v>
                </c:pt>
              </c:strCache>
            </c:strRef>
          </c:cat>
          <c:val>
            <c:numRef>
              <c:f>'4. Dashboard'!$G$77:$G$81</c:f>
              <c:numCache>
                <c:formatCode>General</c:formatCode>
                <c:ptCount val="5"/>
                <c:pt idx="0">
                  <c:v>0.19999999999999998</c:v>
                </c:pt>
                <c:pt idx="1">
                  <c:v>0.19999999999999998</c:v>
                </c:pt>
                <c:pt idx="2">
                  <c:v>0.19999999999999998</c:v>
                </c:pt>
                <c:pt idx="3">
                  <c:v>0.19999999999999998</c:v>
                </c:pt>
                <c:pt idx="4">
                  <c:v>0.19999999999999998</c:v>
                </c:pt>
              </c:numCache>
            </c:numRef>
          </c:val>
          <c:extLst>
            <c:ext xmlns:c16="http://schemas.microsoft.com/office/drawing/2014/chart" uri="{C3380CC4-5D6E-409C-BE32-E72D297353CC}">
              <c16:uniqueId val="{00000000-7E4B-4E0B-8737-A0ECEFD9DABA}"/>
            </c:ext>
          </c:extLst>
        </c:ser>
        <c:ser>
          <c:idx val="1"/>
          <c:order val="1"/>
          <c:tx>
            <c:strRef>
              <c:f>'4. Dashboard'!$H$76</c:f>
              <c:strCache>
                <c:ptCount val="1"/>
                <c:pt idx="0">
                  <c:v>Oranje</c:v>
                </c:pt>
              </c:strCache>
            </c:strRef>
          </c:tx>
          <c:spPr>
            <a:solidFill>
              <a:srgbClr val="FFC000"/>
            </a:solidFill>
            <a:ln>
              <a:noFill/>
            </a:ln>
            <a:effectLst/>
          </c:spPr>
          <c:invertIfNegative val="0"/>
          <c:cat>
            <c:strRef>
              <c:f>'4. Dashboard'!$E$77:$E$81</c:f>
              <c:strCache>
                <c:ptCount val="5"/>
                <c:pt idx="0">
                  <c:v>Registratie</c:v>
                </c:pt>
                <c:pt idx="1">
                  <c:v>Migreren</c:v>
                </c:pt>
                <c:pt idx="2">
                  <c:v>Bewaren</c:v>
                </c:pt>
                <c:pt idx="3">
                  <c:v>Vernietigen</c:v>
                </c:pt>
                <c:pt idx="4">
                  <c:v>Ter beschikking stellen</c:v>
                </c:pt>
              </c:strCache>
            </c:strRef>
          </c:cat>
          <c:val>
            <c:numRef>
              <c:f>'4. Dashboard'!$H$77:$H$81</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1-7E4B-4E0B-8737-A0ECEFD9DABA}"/>
            </c:ext>
          </c:extLst>
        </c:ser>
        <c:ser>
          <c:idx val="2"/>
          <c:order val="2"/>
          <c:tx>
            <c:strRef>
              <c:f>'4. Dashboard'!$I$76</c:f>
              <c:strCache>
                <c:ptCount val="1"/>
                <c:pt idx="0">
                  <c:v>Geel</c:v>
                </c:pt>
              </c:strCache>
            </c:strRef>
          </c:tx>
          <c:spPr>
            <a:solidFill>
              <a:srgbClr val="FFFF00"/>
            </a:solidFill>
            <a:ln>
              <a:noFill/>
            </a:ln>
            <a:effectLst/>
          </c:spPr>
          <c:invertIfNegative val="0"/>
          <c:cat>
            <c:strRef>
              <c:f>'4. Dashboard'!$E$77:$E$81</c:f>
              <c:strCache>
                <c:ptCount val="5"/>
                <c:pt idx="0">
                  <c:v>Registratie</c:v>
                </c:pt>
                <c:pt idx="1">
                  <c:v>Migreren</c:v>
                </c:pt>
                <c:pt idx="2">
                  <c:v>Bewaren</c:v>
                </c:pt>
                <c:pt idx="3">
                  <c:v>Vernietigen</c:v>
                </c:pt>
                <c:pt idx="4">
                  <c:v>Ter beschikking stellen</c:v>
                </c:pt>
              </c:strCache>
            </c:strRef>
          </c:cat>
          <c:val>
            <c:numRef>
              <c:f>'4. Dashboard'!$I$77:$I$81</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2-7E4B-4E0B-8737-A0ECEFD9DABA}"/>
            </c:ext>
          </c:extLst>
        </c:ser>
        <c:ser>
          <c:idx val="3"/>
          <c:order val="3"/>
          <c:tx>
            <c:strRef>
              <c:f>'4. Dashboard'!$J$76</c:f>
              <c:strCache>
                <c:ptCount val="1"/>
                <c:pt idx="0">
                  <c:v>Groen</c:v>
                </c:pt>
              </c:strCache>
            </c:strRef>
          </c:tx>
          <c:spPr>
            <a:solidFill>
              <a:srgbClr val="00B050"/>
            </a:solidFill>
            <a:ln>
              <a:noFill/>
            </a:ln>
            <a:effectLst/>
          </c:spPr>
          <c:invertIfNegative val="0"/>
          <c:cat>
            <c:strRef>
              <c:f>'4. Dashboard'!$E$77:$E$81</c:f>
              <c:strCache>
                <c:ptCount val="5"/>
                <c:pt idx="0">
                  <c:v>Registratie</c:v>
                </c:pt>
                <c:pt idx="1">
                  <c:v>Migreren</c:v>
                </c:pt>
                <c:pt idx="2">
                  <c:v>Bewaren</c:v>
                </c:pt>
                <c:pt idx="3">
                  <c:v>Vernietigen</c:v>
                </c:pt>
                <c:pt idx="4">
                  <c:v>Ter beschikking stellen</c:v>
                </c:pt>
              </c:strCache>
            </c:strRef>
          </c:cat>
          <c:val>
            <c:numRef>
              <c:f>'4. Dashboard'!$J$77:$J$81</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3-7E4B-4E0B-8737-A0ECEFD9DABA}"/>
            </c:ext>
          </c:extLst>
        </c:ser>
        <c:dLbls>
          <c:showLegendKey val="0"/>
          <c:showVal val="0"/>
          <c:showCatName val="0"/>
          <c:showSerName val="0"/>
          <c:showPercent val="0"/>
          <c:showBubbleSize val="0"/>
        </c:dLbls>
        <c:gapWidth val="219"/>
        <c:axId val="1080279935"/>
        <c:axId val="1080280415"/>
      </c:barChart>
      <c:catAx>
        <c:axId val="108027993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080280415"/>
        <c:crosses val="autoZero"/>
        <c:auto val="1"/>
        <c:lblAlgn val="ctr"/>
        <c:lblOffset val="100"/>
        <c:noMultiLvlLbl val="0"/>
      </c:catAx>
      <c:valAx>
        <c:axId val="1080280415"/>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080279935"/>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8.svg"/><Relationship Id="rId13" Type="http://schemas.openxmlformats.org/officeDocument/2006/relationships/image" Target="../media/image13.png"/><Relationship Id="rId18" Type="http://schemas.openxmlformats.org/officeDocument/2006/relationships/image" Target="../media/image18.svg"/><Relationship Id="rId26" Type="http://schemas.openxmlformats.org/officeDocument/2006/relationships/image" Target="../media/image26.sv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svg"/><Relationship Id="rId17" Type="http://schemas.openxmlformats.org/officeDocument/2006/relationships/image" Target="../media/image17.png"/><Relationship Id="rId25" Type="http://schemas.openxmlformats.org/officeDocument/2006/relationships/image" Target="../media/image25.png"/><Relationship Id="rId2" Type="http://schemas.openxmlformats.org/officeDocument/2006/relationships/image" Target="../media/image2.svg"/><Relationship Id="rId16" Type="http://schemas.openxmlformats.org/officeDocument/2006/relationships/image" Target="../media/image16.svg"/><Relationship Id="rId20" Type="http://schemas.openxmlformats.org/officeDocument/2006/relationships/image" Target="../media/image20.svg"/><Relationship Id="rId29" Type="http://schemas.openxmlformats.org/officeDocument/2006/relationships/image" Target="../media/image29.png"/><Relationship Id="rId1" Type="http://schemas.openxmlformats.org/officeDocument/2006/relationships/image" Target="../media/image1.png"/><Relationship Id="rId6" Type="http://schemas.openxmlformats.org/officeDocument/2006/relationships/image" Target="../media/image6.svg"/><Relationship Id="rId11" Type="http://schemas.openxmlformats.org/officeDocument/2006/relationships/image" Target="../media/image11.png"/><Relationship Id="rId24" Type="http://schemas.openxmlformats.org/officeDocument/2006/relationships/image" Target="../media/image24.sv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svg"/><Relationship Id="rId10" Type="http://schemas.openxmlformats.org/officeDocument/2006/relationships/image" Target="../media/image10.svg"/><Relationship Id="rId19" Type="http://schemas.openxmlformats.org/officeDocument/2006/relationships/image" Target="../media/image19.png"/><Relationship Id="rId4" Type="http://schemas.openxmlformats.org/officeDocument/2006/relationships/image" Target="../media/image4.svg"/><Relationship Id="rId9" Type="http://schemas.openxmlformats.org/officeDocument/2006/relationships/image" Target="../media/image9.png"/><Relationship Id="rId14" Type="http://schemas.openxmlformats.org/officeDocument/2006/relationships/image" Target="../media/image14.svg"/><Relationship Id="rId22" Type="http://schemas.openxmlformats.org/officeDocument/2006/relationships/image" Target="../media/image22.svg"/><Relationship Id="rId27" Type="http://schemas.openxmlformats.org/officeDocument/2006/relationships/image" Target="../media/image27.png"/><Relationship Id="rId30" Type="http://schemas.openxmlformats.org/officeDocument/2006/relationships/image" Target="../media/image30.sv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29</xdr:col>
      <xdr:colOff>85479</xdr:colOff>
      <xdr:row>18</xdr:row>
      <xdr:rowOff>85481</xdr:rowOff>
    </xdr:from>
    <xdr:to>
      <xdr:col>30</xdr:col>
      <xdr:colOff>439614</xdr:colOff>
      <xdr:row>19</xdr:row>
      <xdr:rowOff>158749</xdr:rowOff>
    </xdr:to>
    <xdr:sp macro="" textlink="">
      <xdr:nvSpPr>
        <xdr:cNvPr id="52" name="Rechthoek: afgeronde hoeken 51">
          <a:extLst>
            <a:ext uri="{FF2B5EF4-FFF2-40B4-BE49-F238E27FC236}">
              <a16:creationId xmlns:a16="http://schemas.microsoft.com/office/drawing/2014/main" id="{23A7A226-331C-4EF4-7C79-41585B283FF3}"/>
            </a:ext>
          </a:extLst>
        </xdr:cNvPr>
        <xdr:cNvSpPr/>
      </xdr:nvSpPr>
      <xdr:spPr>
        <a:xfrm>
          <a:off x="17181633" y="3602404"/>
          <a:ext cx="964712" cy="268653"/>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nl-NL" sz="1200" b="1" kern="1200">
              <a:solidFill>
                <a:schemeClr val="bg1"/>
              </a:solidFill>
            </a:rPr>
            <a:t>INVULLEN</a:t>
          </a:r>
        </a:p>
      </xdr:txBody>
    </xdr:sp>
    <xdr:clientData/>
  </xdr:twoCellAnchor>
  <xdr:twoCellAnchor>
    <xdr:from>
      <xdr:col>9</xdr:col>
      <xdr:colOff>352425</xdr:colOff>
      <xdr:row>24</xdr:row>
      <xdr:rowOff>19050</xdr:rowOff>
    </xdr:from>
    <xdr:to>
      <xdr:col>15</xdr:col>
      <xdr:colOff>161925</xdr:colOff>
      <xdr:row>29</xdr:row>
      <xdr:rowOff>28575</xdr:rowOff>
    </xdr:to>
    <xdr:sp macro="" textlink="">
      <xdr:nvSpPr>
        <xdr:cNvPr id="2" name="Rechthoek: afgeronde hoeken 1">
          <a:extLst>
            <a:ext uri="{FF2B5EF4-FFF2-40B4-BE49-F238E27FC236}">
              <a16:creationId xmlns:a16="http://schemas.microsoft.com/office/drawing/2014/main" id="{88F0A63A-91E4-A08D-503A-DA4C58F95FBF}"/>
            </a:ext>
          </a:extLst>
        </xdr:cNvPr>
        <xdr:cNvSpPr/>
      </xdr:nvSpPr>
      <xdr:spPr>
        <a:xfrm>
          <a:off x="5838825" y="4591050"/>
          <a:ext cx="3467100" cy="96202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kern="1200"/>
            <a:t>	Een uitgebreide toelichting</a:t>
          </a:r>
          <a:r>
            <a:rPr lang="nl-NL" sz="1100" kern="1200" baseline="0"/>
            <a:t> op de 	scores en de afzonderlijke vragen staat 	in het tabblad Toelichting score en 	vragen</a:t>
          </a:r>
          <a:endParaRPr lang="nl-NL" sz="1100" kern="1200"/>
        </a:p>
      </xdr:txBody>
    </xdr:sp>
    <xdr:clientData/>
  </xdr:twoCellAnchor>
  <xdr:twoCellAnchor editAs="oneCell">
    <xdr:from>
      <xdr:col>9</xdr:col>
      <xdr:colOff>457200</xdr:colOff>
      <xdr:row>25</xdr:row>
      <xdr:rowOff>0</xdr:rowOff>
    </xdr:from>
    <xdr:to>
      <xdr:col>10</xdr:col>
      <xdr:colOff>400050</xdr:colOff>
      <xdr:row>27</xdr:row>
      <xdr:rowOff>171451</xdr:rowOff>
    </xdr:to>
    <xdr:pic>
      <xdr:nvPicPr>
        <xdr:cNvPr id="4" name="Graphic 3" descr="Informatie silhouet">
          <a:extLst>
            <a:ext uri="{FF2B5EF4-FFF2-40B4-BE49-F238E27FC236}">
              <a16:creationId xmlns:a16="http://schemas.microsoft.com/office/drawing/2014/main" id="{5D393511-DA3A-C632-BF5A-4395AA48FD5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5943600" y="4762500"/>
          <a:ext cx="552450" cy="552450"/>
        </a:xfrm>
        <a:prstGeom prst="rect">
          <a:avLst/>
        </a:prstGeom>
      </xdr:spPr>
    </xdr:pic>
    <xdr:clientData/>
  </xdr:twoCellAnchor>
  <xdr:twoCellAnchor>
    <xdr:from>
      <xdr:col>9</xdr:col>
      <xdr:colOff>400049</xdr:colOff>
      <xdr:row>45</xdr:row>
      <xdr:rowOff>161925</xdr:rowOff>
    </xdr:from>
    <xdr:to>
      <xdr:col>16</xdr:col>
      <xdr:colOff>333374</xdr:colOff>
      <xdr:row>54</xdr:row>
      <xdr:rowOff>133350</xdr:rowOff>
    </xdr:to>
    <xdr:sp macro="" textlink="">
      <xdr:nvSpPr>
        <xdr:cNvPr id="6" name="Rechthoek: afgeronde hoeken 5">
          <a:extLst>
            <a:ext uri="{FF2B5EF4-FFF2-40B4-BE49-F238E27FC236}">
              <a16:creationId xmlns:a16="http://schemas.microsoft.com/office/drawing/2014/main" id="{416BECDF-3242-4A23-A825-E35EEFB3297A}"/>
            </a:ext>
          </a:extLst>
        </xdr:cNvPr>
        <xdr:cNvSpPr/>
      </xdr:nvSpPr>
      <xdr:spPr>
        <a:xfrm>
          <a:off x="5886449" y="8743950"/>
          <a:ext cx="4200525" cy="168592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kern="1200"/>
            <a:t>	De Totaalscore is geen onderdeel over de mate 		waarin</a:t>
          </a:r>
          <a:r>
            <a:rPr lang="nl-NL" sz="1100" kern="1200" baseline="0"/>
            <a:t> een applicatie 'DUTO-compliant' is. Een score van bijvoorbeld 80% betekent dus niet dat een applicatie voor 80% aan DUTO voldoet. De scores en visualisaties zijn bedoeld om aandachtspunten zichtbaar te maken, het gesprek hierover te ondersteunen en verbetermaatregelen te prioriteren. Kijk daarbij altijd naar de afzonderlijke vragen, de relevantie en prioritering ervan en de context van de applicatie.</a:t>
          </a:r>
          <a:endParaRPr lang="nl-NL" sz="1100" kern="1200"/>
        </a:p>
      </xdr:txBody>
    </xdr:sp>
    <xdr:clientData/>
  </xdr:twoCellAnchor>
  <xdr:twoCellAnchor editAs="oneCell">
    <xdr:from>
      <xdr:col>9</xdr:col>
      <xdr:colOff>571500</xdr:colOff>
      <xdr:row>45</xdr:row>
      <xdr:rowOff>152400</xdr:rowOff>
    </xdr:from>
    <xdr:to>
      <xdr:col>10</xdr:col>
      <xdr:colOff>447675</xdr:colOff>
      <xdr:row>48</xdr:row>
      <xdr:rowOff>55060</xdr:rowOff>
    </xdr:to>
    <xdr:pic>
      <xdr:nvPicPr>
        <xdr:cNvPr id="7" name="Graphic 6" descr="Informatie silhouet">
          <a:extLst>
            <a:ext uri="{FF2B5EF4-FFF2-40B4-BE49-F238E27FC236}">
              <a16:creationId xmlns:a16="http://schemas.microsoft.com/office/drawing/2014/main" id="{8C22DF01-723F-4047-8F1E-29041C75269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057900" y="8734425"/>
          <a:ext cx="485775" cy="485775"/>
        </a:xfrm>
        <a:prstGeom prst="rect">
          <a:avLst/>
        </a:prstGeom>
      </xdr:spPr>
    </xdr:pic>
    <xdr:clientData/>
  </xdr:twoCellAnchor>
  <xdr:twoCellAnchor editAs="oneCell">
    <xdr:from>
      <xdr:col>2</xdr:col>
      <xdr:colOff>0</xdr:colOff>
      <xdr:row>60</xdr:row>
      <xdr:rowOff>0</xdr:rowOff>
    </xdr:from>
    <xdr:to>
      <xdr:col>2</xdr:col>
      <xdr:colOff>552449</xdr:colOff>
      <xdr:row>62</xdr:row>
      <xdr:rowOff>171450</xdr:rowOff>
    </xdr:to>
    <xdr:pic>
      <xdr:nvPicPr>
        <xdr:cNvPr id="13" name="Graphic 12" descr="Roos met effen opvulling">
          <a:extLst>
            <a:ext uri="{FF2B5EF4-FFF2-40B4-BE49-F238E27FC236}">
              <a16:creationId xmlns:a16="http://schemas.microsoft.com/office/drawing/2014/main" id="{61D175CC-1DF5-5BCA-F332-98133C262552}"/>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219200" y="11439525"/>
          <a:ext cx="552449" cy="552449"/>
        </a:xfrm>
        <a:prstGeom prst="rect">
          <a:avLst/>
        </a:prstGeom>
      </xdr:spPr>
    </xdr:pic>
    <xdr:clientData/>
  </xdr:twoCellAnchor>
  <xdr:twoCellAnchor editAs="oneCell">
    <xdr:from>
      <xdr:col>6</xdr:col>
      <xdr:colOff>0</xdr:colOff>
      <xdr:row>60</xdr:row>
      <xdr:rowOff>0</xdr:rowOff>
    </xdr:from>
    <xdr:to>
      <xdr:col>6</xdr:col>
      <xdr:colOff>542925</xdr:colOff>
      <xdr:row>62</xdr:row>
      <xdr:rowOff>161926</xdr:rowOff>
    </xdr:to>
    <xdr:pic>
      <xdr:nvPicPr>
        <xdr:cNvPr id="15" name="Graphic 14" descr="Gebruiker met effen opvulling">
          <a:extLst>
            <a:ext uri="{FF2B5EF4-FFF2-40B4-BE49-F238E27FC236}">
              <a16:creationId xmlns:a16="http://schemas.microsoft.com/office/drawing/2014/main" id="{97927AB7-F8A4-A0B4-C805-50163F762CB2}"/>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3657600" y="11439525"/>
          <a:ext cx="542925" cy="542925"/>
        </a:xfrm>
        <a:prstGeom prst="rect">
          <a:avLst/>
        </a:prstGeom>
      </xdr:spPr>
    </xdr:pic>
    <xdr:clientData/>
  </xdr:twoCellAnchor>
  <xdr:twoCellAnchor editAs="oneCell">
    <xdr:from>
      <xdr:col>10</xdr:col>
      <xdr:colOff>0</xdr:colOff>
      <xdr:row>60</xdr:row>
      <xdr:rowOff>0</xdr:rowOff>
    </xdr:from>
    <xdr:to>
      <xdr:col>10</xdr:col>
      <xdr:colOff>552450</xdr:colOff>
      <xdr:row>62</xdr:row>
      <xdr:rowOff>171451</xdr:rowOff>
    </xdr:to>
    <xdr:pic>
      <xdr:nvPicPr>
        <xdr:cNvPr id="17" name="Graphic 16" descr="Agenda met effen opvulling">
          <a:extLst>
            <a:ext uri="{FF2B5EF4-FFF2-40B4-BE49-F238E27FC236}">
              <a16:creationId xmlns:a16="http://schemas.microsoft.com/office/drawing/2014/main" id="{DB9655C9-BBCF-1111-5EA6-4CF109C2F008}"/>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6096000" y="11439525"/>
          <a:ext cx="552450" cy="552450"/>
        </a:xfrm>
        <a:prstGeom prst="rect">
          <a:avLst/>
        </a:prstGeom>
      </xdr:spPr>
    </xdr:pic>
    <xdr:clientData/>
  </xdr:twoCellAnchor>
  <xdr:twoCellAnchor editAs="oneCell">
    <xdr:from>
      <xdr:col>14</xdr:col>
      <xdr:colOff>0</xdr:colOff>
      <xdr:row>60</xdr:row>
      <xdr:rowOff>0</xdr:rowOff>
    </xdr:from>
    <xdr:to>
      <xdr:col>14</xdr:col>
      <xdr:colOff>590550</xdr:colOff>
      <xdr:row>63</xdr:row>
      <xdr:rowOff>19050</xdr:rowOff>
    </xdr:to>
    <xdr:pic>
      <xdr:nvPicPr>
        <xdr:cNvPr id="19" name="Graphic 18" descr="Vinkje met effen opvulling">
          <a:extLst>
            <a:ext uri="{FF2B5EF4-FFF2-40B4-BE49-F238E27FC236}">
              <a16:creationId xmlns:a16="http://schemas.microsoft.com/office/drawing/2014/main" id="{203D2E91-4642-0E06-5E7B-DECA39E43C9B}"/>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8534400" y="11439525"/>
          <a:ext cx="590550" cy="590550"/>
        </a:xfrm>
        <a:prstGeom prst="rect">
          <a:avLst/>
        </a:prstGeom>
      </xdr:spPr>
    </xdr:pic>
    <xdr:clientData/>
  </xdr:twoCellAnchor>
  <xdr:twoCellAnchor editAs="oneCell">
    <xdr:from>
      <xdr:col>18</xdr:col>
      <xdr:colOff>81311</xdr:colOff>
      <xdr:row>9</xdr:row>
      <xdr:rowOff>69694</xdr:rowOff>
    </xdr:from>
    <xdr:to>
      <xdr:col>19</xdr:col>
      <xdr:colOff>69694</xdr:colOff>
      <xdr:row>12</xdr:row>
      <xdr:rowOff>104540</xdr:rowOff>
    </xdr:to>
    <xdr:pic>
      <xdr:nvPicPr>
        <xdr:cNvPr id="23" name="Graphic 22" descr="Badge: 1 silhouet">
          <a:extLst>
            <a:ext uri="{FF2B5EF4-FFF2-40B4-BE49-F238E27FC236}">
              <a16:creationId xmlns:a16="http://schemas.microsoft.com/office/drawing/2014/main" id="{FD65DE24-787C-1523-4223-A79D13F022BC}"/>
            </a:ext>
          </a:extLst>
        </xdr:cNvPr>
        <xdr:cNvPicPr>
          <a:picLocks noChangeAspect="1"/>
        </xdr:cNvPicPr>
      </xdr:nvPicPr>
      <xdr:blipFill>
        <a:blip xmlns:r="http://schemas.openxmlformats.org/officeDocument/2006/relationships" r:embed="rId11">
          <a:extLst>
            <a:ext uri="{96DAC541-7B7A-43D3-8B79-37D633B846F1}">
              <asvg:svgBlip xmlns:asvg="http://schemas.microsoft.com/office/drawing/2016/SVG/main" r:embed="rId12"/>
            </a:ext>
          </a:extLst>
        </a:blip>
        <a:stretch>
          <a:fillRect/>
        </a:stretch>
      </xdr:blipFill>
      <xdr:spPr>
        <a:xfrm>
          <a:off x="10349726" y="1753993"/>
          <a:ext cx="592407" cy="592407"/>
        </a:xfrm>
        <a:prstGeom prst="rect">
          <a:avLst/>
        </a:prstGeom>
      </xdr:spPr>
    </xdr:pic>
    <xdr:clientData/>
  </xdr:twoCellAnchor>
  <xdr:twoCellAnchor editAs="oneCell">
    <xdr:from>
      <xdr:col>18</xdr:col>
      <xdr:colOff>81312</xdr:colOff>
      <xdr:row>13</xdr:row>
      <xdr:rowOff>174238</xdr:rowOff>
    </xdr:from>
    <xdr:to>
      <xdr:col>19</xdr:col>
      <xdr:colOff>71288</xdr:colOff>
      <xdr:row>17</xdr:row>
      <xdr:rowOff>24823</xdr:rowOff>
    </xdr:to>
    <xdr:pic>
      <xdr:nvPicPr>
        <xdr:cNvPr id="27" name="Graphic 26" descr="Badge silhouet">
          <a:extLst>
            <a:ext uri="{FF2B5EF4-FFF2-40B4-BE49-F238E27FC236}">
              <a16:creationId xmlns:a16="http://schemas.microsoft.com/office/drawing/2014/main" id="{BC69EC47-9FF3-F19A-AEFB-7240792E1BB5}"/>
            </a:ext>
          </a:extLst>
        </xdr:cNvPr>
        <xdr:cNvPicPr>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10349727" y="2601951"/>
          <a:ext cx="594000" cy="594000"/>
        </a:xfrm>
        <a:prstGeom prst="rect">
          <a:avLst/>
        </a:prstGeom>
      </xdr:spPr>
    </xdr:pic>
    <xdr:clientData/>
  </xdr:twoCellAnchor>
  <xdr:twoCellAnchor editAs="oneCell">
    <xdr:from>
      <xdr:col>18</xdr:col>
      <xdr:colOff>81311</xdr:colOff>
      <xdr:row>18</xdr:row>
      <xdr:rowOff>116158</xdr:rowOff>
    </xdr:from>
    <xdr:to>
      <xdr:col>19</xdr:col>
      <xdr:colOff>71287</xdr:colOff>
      <xdr:row>21</xdr:row>
      <xdr:rowOff>152597</xdr:rowOff>
    </xdr:to>
    <xdr:pic>
      <xdr:nvPicPr>
        <xdr:cNvPr id="29" name="Graphic 28" descr="Badge 3 silhouet">
          <a:extLst>
            <a:ext uri="{FF2B5EF4-FFF2-40B4-BE49-F238E27FC236}">
              <a16:creationId xmlns:a16="http://schemas.microsoft.com/office/drawing/2014/main" id="{770EC1EB-C687-FAD8-0070-DB0DE9F2D4E7}"/>
            </a:ext>
          </a:extLst>
        </xdr:cNvPr>
        <xdr:cNvPicPr>
          <a:picLocks noChangeAspect="1"/>
        </xdr:cNvPicPr>
      </xdr:nvPicPr>
      <xdr:blipFill>
        <a:blip xmlns:r="http://schemas.openxmlformats.org/officeDocument/2006/relationships" r:embed="rId15">
          <a:extLst>
            <a:ext uri="{96DAC541-7B7A-43D3-8B79-37D633B846F1}">
              <asvg:svgBlip xmlns:asvg="http://schemas.microsoft.com/office/drawing/2016/SVG/main" r:embed="rId16"/>
            </a:ext>
          </a:extLst>
        </a:blip>
        <a:stretch>
          <a:fillRect/>
        </a:stretch>
      </xdr:blipFill>
      <xdr:spPr>
        <a:xfrm>
          <a:off x="10349726" y="3484756"/>
          <a:ext cx="594000" cy="594000"/>
        </a:xfrm>
        <a:prstGeom prst="rect">
          <a:avLst/>
        </a:prstGeom>
      </xdr:spPr>
    </xdr:pic>
    <xdr:clientData/>
  </xdr:twoCellAnchor>
  <xdr:twoCellAnchor editAs="oneCell">
    <xdr:from>
      <xdr:col>18</xdr:col>
      <xdr:colOff>78570</xdr:colOff>
      <xdr:row>25</xdr:row>
      <xdr:rowOff>149179</xdr:rowOff>
    </xdr:from>
    <xdr:to>
      <xdr:col>19</xdr:col>
      <xdr:colOff>68546</xdr:colOff>
      <xdr:row>28</xdr:row>
      <xdr:rowOff>185618</xdr:rowOff>
    </xdr:to>
    <xdr:pic>
      <xdr:nvPicPr>
        <xdr:cNvPr id="34" name="Graphic 33" descr="Badge 4 silhouet">
          <a:extLst>
            <a:ext uri="{FF2B5EF4-FFF2-40B4-BE49-F238E27FC236}">
              <a16:creationId xmlns:a16="http://schemas.microsoft.com/office/drawing/2014/main" id="{854CEBD1-21FB-FC9B-567C-586231DB095D}"/>
            </a:ext>
          </a:extLst>
        </xdr:cNvPr>
        <xdr:cNvPicPr>
          <a:picLocks noChangeAspect="1"/>
        </xdr:cNvPicPr>
      </xdr:nvPicPr>
      <xdr:blipFill>
        <a:blip xmlns:r="http://schemas.openxmlformats.org/officeDocument/2006/relationships" r:embed="rId17">
          <a:extLst>
            <a:ext uri="{96DAC541-7B7A-43D3-8B79-37D633B846F1}">
              <asvg:svgBlip xmlns:asvg="http://schemas.microsoft.com/office/drawing/2016/SVG/main" r:embed="rId18"/>
            </a:ext>
          </a:extLst>
        </a:blip>
        <a:stretch>
          <a:fillRect/>
        </a:stretch>
      </xdr:blipFill>
      <xdr:spPr>
        <a:xfrm>
          <a:off x="10449048" y="4997297"/>
          <a:ext cx="600004" cy="614360"/>
        </a:xfrm>
        <a:prstGeom prst="rect">
          <a:avLst/>
        </a:prstGeom>
      </xdr:spPr>
    </xdr:pic>
    <xdr:clientData/>
  </xdr:twoCellAnchor>
  <xdr:twoCellAnchor editAs="oneCell">
    <xdr:from>
      <xdr:col>18</xdr:col>
      <xdr:colOff>68781</xdr:colOff>
      <xdr:row>30</xdr:row>
      <xdr:rowOff>140303</xdr:rowOff>
    </xdr:from>
    <xdr:to>
      <xdr:col>19</xdr:col>
      <xdr:colOff>58757</xdr:colOff>
      <xdr:row>33</xdr:row>
      <xdr:rowOff>165126</xdr:rowOff>
    </xdr:to>
    <xdr:pic>
      <xdr:nvPicPr>
        <xdr:cNvPr id="36" name="Graphic 35" descr="Badge 5 silhouet">
          <a:extLst>
            <a:ext uri="{FF2B5EF4-FFF2-40B4-BE49-F238E27FC236}">
              <a16:creationId xmlns:a16="http://schemas.microsoft.com/office/drawing/2014/main" id="{750FAE77-2402-85A2-EE8E-51D7059279B3}"/>
            </a:ext>
          </a:extLst>
        </xdr:cNvPr>
        <xdr:cNvPicPr>
          <a:picLocks noChangeAspect="1"/>
        </xdr:cNvPicPr>
      </xdr:nvPicPr>
      <xdr:blipFill>
        <a:blip xmlns:r="http://schemas.openxmlformats.org/officeDocument/2006/relationships" r:embed="rId19">
          <a:extLst>
            <a:ext uri="{96DAC541-7B7A-43D3-8B79-37D633B846F1}">
              <asvg:svgBlip xmlns:asvg="http://schemas.microsoft.com/office/drawing/2016/SVG/main" r:embed="rId20"/>
            </a:ext>
          </a:extLst>
        </a:blip>
        <a:stretch>
          <a:fillRect/>
        </a:stretch>
      </xdr:blipFill>
      <xdr:spPr>
        <a:xfrm>
          <a:off x="10439259" y="5962325"/>
          <a:ext cx="600004" cy="613447"/>
        </a:xfrm>
        <a:prstGeom prst="rect">
          <a:avLst/>
        </a:prstGeom>
      </xdr:spPr>
    </xdr:pic>
    <xdr:clientData/>
  </xdr:twoCellAnchor>
  <xdr:twoCellAnchor editAs="oneCell">
    <xdr:from>
      <xdr:col>18</xdr:col>
      <xdr:colOff>89273</xdr:colOff>
      <xdr:row>35</xdr:row>
      <xdr:rowOff>112504</xdr:rowOff>
    </xdr:from>
    <xdr:to>
      <xdr:col>19</xdr:col>
      <xdr:colOff>79249</xdr:colOff>
      <xdr:row>38</xdr:row>
      <xdr:rowOff>148943</xdr:rowOff>
    </xdr:to>
    <xdr:pic>
      <xdr:nvPicPr>
        <xdr:cNvPr id="38" name="Graphic 37" descr="Badge: 6 silhouet">
          <a:extLst>
            <a:ext uri="{FF2B5EF4-FFF2-40B4-BE49-F238E27FC236}">
              <a16:creationId xmlns:a16="http://schemas.microsoft.com/office/drawing/2014/main" id="{8B6C7A4A-C7C8-66CF-A498-9EB235F92BBB}"/>
            </a:ext>
          </a:extLst>
        </xdr:cNvPr>
        <xdr:cNvPicPr>
          <a:picLocks noChangeAspect="1"/>
        </xdr:cNvPicPr>
      </xdr:nvPicPr>
      <xdr:blipFill>
        <a:blip xmlns:r="http://schemas.openxmlformats.org/officeDocument/2006/relationships" r:embed="rId21">
          <a:extLst>
            <a:ext uri="{96DAC541-7B7A-43D3-8B79-37D633B846F1}">
              <asvg:svgBlip xmlns:asvg="http://schemas.microsoft.com/office/drawing/2016/SVG/main" r:embed="rId22"/>
            </a:ext>
          </a:extLst>
        </a:blip>
        <a:stretch>
          <a:fillRect/>
        </a:stretch>
      </xdr:blipFill>
      <xdr:spPr>
        <a:xfrm>
          <a:off x="10459751" y="6908431"/>
          <a:ext cx="600004" cy="614360"/>
        </a:xfrm>
        <a:prstGeom prst="rect">
          <a:avLst/>
        </a:prstGeom>
      </xdr:spPr>
    </xdr:pic>
    <xdr:clientData/>
  </xdr:twoCellAnchor>
  <xdr:twoCellAnchor editAs="oneCell">
    <xdr:from>
      <xdr:col>28</xdr:col>
      <xdr:colOff>12212</xdr:colOff>
      <xdr:row>30</xdr:row>
      <xdr:rowOff>24422</xdr:rowOff>
    </xdr:from>
    <xdr:to>
      <xdr:col>28</xdr:col>
      <xdr:colOff>415193</xdr:colOff>
      <xdr:row>32</xdr:row>
      <xdr:rowOff>36633</xdr:rowOff>
    </xdr:to>
    <xdr:pic>
      <xdr:nvPicPr>
        <xdr:cNvPr id="51" name="Graphic 50" descr="Potlood met effen opvulling">
          <a:extLst>
            <a:ext uri="{FF2B5EF4-FFF2-40B4-BE49-F238E27FC236}">
              <a16:creationId xmlns:a16="http://schemas.microsoft.com/office/drawing/2014/main" id="{6ECF9954-CBD1-CDFD-E610-D6DE785E4B7D}"/>
            </a:ext>
          </a:extLst>
        </xdr:cNvPr>
        <xdr:cNvPicPr>
          <a:picLocks noChangeAspect="1"/>
        </xdr:cNvPicPr>
      </xdr:nvPicPr>
      <xdr:blipFill>
        <a:blip xmlns:r="http://schemas.openxmlformats.org/officeDocument/2006/relationships" r:embed="rId23">
          <a:extLst>
            <a:ext uri="{96DAC541-7B7A-43D3-8B79-37D633B846F1}">
              <asvg:svgBlip xmlns:asvg="http://schemas.microsoft.com/office/drawing/2016/SVG/main" r:embed="rId24"/>
            </a:ext>
          </a:extLst>
        </a:blip>
        <a:stretch>
          <a:fillRect/>
        </a:stretch>
      </xdr:blipFill>
      <xdr:spPr>
        <a:xfrm>
          <a:off x="16497789" y="5885960"/>
          <a:ext cx="402981" cy="402981"/>
        </a:xfrm>
        <a:prstGeom prst="rect">
          <a:avLst/>
        </a:prstGeom>
      </xdr:spPr>
    </xdr:pic>
    <xdr:clientData/>
  </xdr:twoCellAnchor>
  <xdr:twoCellAnchor>
    <xdr:from>
      <xdr:col>29</xdr:col>
      <xdr:colOff>73269</xdr:colOff>
      <xdr:row>30</xdr:row>
      <xdr:rowOff>122116</xdr:rowOff>
    </xdr:from>
    <xdr:to>
      <xdr:col>30</xdr:col>
      <xdr:colOff>427404</xdr:colOff>
      <xdr:row>31</xdr:row>
      <xdr:rowOff>195384</xdr:rowOff>
    </xdr:to>
    <xdr:sp macro="" textlink="">
      <xdr:nvSpPr>
        <xdr:cNvPr id="54" name="Rechthoek: afgeronde hoeken 53">
          <a:extLst>
            <a:ext uri="{FF2B5EF4-FFF2-40B4-BE49-F238E27FC236}">
              <a16:creationId xmlns:a16="http://schemas.microsoft.com/office/drawing/2014/main" id="{B1A06169-019A-4068-BC7B-22CE2A8B8009}"/>
            </a:ext>
          </a:extLst>
        </xdr:cNvPr>
        <xdr:cNvSpPr/>
      </xdr:nvSpPr>
      <xdr:spPr>
        <a:xfrm>
          <a:off x="17169423" y="5983654"/>
          <a:ext cx="964712" cy="268653"/>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nl-NL" sz="1200" b="1" kern="1200">
              <a:solidFill>
                <a:schemeClr val="bg1"/>
              </a:solidFill>
            </a:rPr>
            <a:t>INVULLEN</a:t>
          </a:r>
        </a:p>
      </xdr:txBody>
    </xdr:sp>
    <xdr:clientData/>
  </xdr:twoCellAnchor>
  <xdr:twoCellAnchor editAs="oneCell">
    <xdr:from>
      <xdr:col>28</xdr:col>
      <xdr:colOff>0</xdr:colOff>
      <xdr:row>18</xdr:row>
      <xdr:rowOff>0</xdr:rowOff>
    </xdr:from>
    <xdr:to>
      <xdr:col>28</xdr:col>
      <xdr:colOff>402981</xdr:colOff>
      <xdr:row>20</xdr:row>
      <xdr:rowOff>12212</xdr:rowOff>
    </xdr:to>
    <xdr:pic>
      <xdr:nvPicPr>
        <xdr:cNvPr id="56" name="Graphic 55" descr="Potlood met effen opvulling">
          <a:extLst>
            <a:ext uri="{FF2B5EF4-FFF2-40B4-BE49-F238E27FC236}">
              <a16:creationId xmlns:a16="http://schemas.microsoft.com/office/drawing/2014/main" id="{D9B2417B-FB3C-4FE3-A2E1-5FFC7BD6E679}"/>
            </a:ext>
          </a:extLst>
        </xdr:cNvPr>
        <xdr:cNvPicPr>
          <a:picLocks noChangeAspect="1"/>
        </xdr:cNvPicPr>
      </xdr:nvPicPr>
      <xdr:blipFill>
        <a:blip xmlns:r="http://schemas.openxmlformats.org/officeDocument/2006/relationships" r:embed="rId23">
          <a:extLst>
            <a:ext uri="{96DAC541-7B7A-43D3-8B79-37D633B846F1}">
              <asvg:svgBlip xmlns:asvg="http://schemas.microsoft.com/office/drawing/2016/SVG/main" r:embed="rId24"/>
            </a:ext>
          </a:extLst>
        </a:blip>
        <a:stretch>
          <a:fillRect/>
        </a:stretch>
      </xdr:blipFill>
      <xdr:spPr>
        <a:xfrm>
          <a:off x="16485577" y="3516923"/>
          <a:ext cx="402981" cy="402981"/>
        </a:xfrm>
        <a:prstGeom prst="rect">
          <a:avLst/>
        </a:prstGeom>
      </xdr:spPr>
    </xdr:pic>
    <xdr:clientData/>
  </xdr:twoCellAnchor>
  <xdr:twoCellAnchor>
    <xdr:from>
      <xdr:col>29</xdr:col>
      <xdr:colOff>61058</xdr:colOff>
      <xdr:row>25</xdr:row>
      <xdr:rowOff>146538</xdr:rowOff>
    </xdr:from>
    <xdr:to>
      <xdr:col>30</xdr:col>
      <xdr:colOff>415193</xdr:colOff>
      <xdr:row>27</xdr:row>
      <xdr:rowOff>24421</xdr:rowOff>
    </xdr:to>
    <xdr:sp macro="" textlink="">
      <xdr:nvSpPr>
        <xdr:cNvPr id="57" name="Rechthoek: afgeronde hoeken 56">
          <a:extLst>
            <a:ext uri="{FF2B5EF4-FFF2-40B4-BE49-F238E27FC236}">
              <a16:creationId xmlns:a16="http://schemas.microsoft.com/office/drawing/2014/main" id="{66C4F476-7E53-4B63-B339-B741A74CDFEC}"/>
            </a:ext>
          </a:extLst>
        </xdr:cNvPr>
        <xdr:cNvSpPr/>
      </xdr:nvSpPr>
      <xdr:spPr>
        <a:xfrm>
          <a:off x="17157212" y="5031153"/>
          <a:ext cx="964712" cy="268653"/>
        </a:xfrm>
        <a:prstGeom prst="roundRect">
          <a:avLst/>
        </a:prstGeom>
        <a:solidFill>
          <a:srgbClr val="29650B"/>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nl-NL" sz="1200" b="1" kern="1200">
              <a:solidFill>
                <a:schemeClr val="bg1"/>
              </a:solidFill>
            </a:rPr>
            <a:t>RESULTAAT</a:t>
          </a:r>
        </a:p>
      </xdr:txBody>
    </xdr:sp>
    <xdr:clientData/>
  </xdr:twoCellAnchor>
  <xdr:twoCellAnchor>
    <xdr:from>
      <xdr:col>29</xdr:col>
      <xdr:colOff>61057</xdr:colOff>
      <xdr:row>35</xdr:row>
      <xdr:rowOff>122115</xdr:rowOff>
    </xdr:from>
    <xdr:to>
      <xdr:col>30</xdr:col>
      <xdr:colOff>415192</xdr:colOff>
      <xdr:row>36</xdr:row>
      <xdr:rowOff>195384</xdr:rowOff>
    </xdr:to>
    <xdr:sp macro="" textlink="">
      <xdr:nvSpPr>
        <xdr:cNvPr id="58" name="Rechthoek: afgeronde hoeken 57">
          <a:extLst>
            <a:ext uri="{FF2B5EF4-FFF2-40B4-BE49-F238E27FC236}">
              <a16:creationId xmlns:a16="http://schemas.microsoft.com/office/drawing/2014/main" id="{9B502DC8-2691-4172-9062-43A242A51290}"/>
            </a:ext>
          </a:extLst>
        </xdr:cNvPr>
        <xdr:cNvSpPr/>
      </xdr:nvSpPr>
      <xdr:spPr>
        <a:xfrm>
          <a:off x="17157211" y="6960577"/>
          <a:ext cx="964712" cy="268653"/>
        </a:xfrm>
        <a:prstGeom prst="roundRect">
          <a:avLst/>
        </a:prstGeom>
        <a:solidFill>
          <a:srgbClr val="29650B"/>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nl-NL" sz="1200" b="1" kern="1200">
              <a:solidFill>
                <a:schemeClr val="bg1"/>
              </a:solidFill>
            </a:rPr>
            <a:t>RESULTAAT</a:t>
          </a:r>
        </a:p>
      </xdr:txBody>
    </xdr:sp>
    <xdr:clientData/>
  </xdr:twoCellAnchor>
  <xdr:twoCellAnchor editAs="oneCell">
    <xdr:from>
      <xdr:col>28</xdr:col>
      <xdr:colOff>24423</xdr:colOff>
      <xdr:row>24</xdr:row>
      <xdr:rowOff>134326</xdr:rowOff>
    </xdr:from>
    <xdr:to>
      <xdr:col>28</xdr:col>
      <xdr:colOff>586154</xdr:colOff>
      <xdr:row>27</xdr:row>
      <xdr:rowOff>109903</xdr:rowOff>
    </xdr:to>
    <xdr:pic>
      <xdr:nvPicPr>
        <xdr:cNvPr id="60" name="Graphic 59" descr="Oog met effen opvulling">
          <a:extLst>
            <a:ext uri="{FF2B5EF4-FFF2-40B4-BE49-F238E27FC236}">
              <a16:creationId xmlns:a16="http://schemas.microsoft.com/office/drawing/2014/main" id="{9BB4BFCB-629E-D028-83E1-CCF673C47D73}"/>
            </a:ext>
          </a:extLst>
        </xdr:cNvPr>
        <xdr:cNvPicPr>
          <a:picLocks noChangeAspect="1"/>
        </xdr:cNvPicPr>
      </xdr:nvPicPr>
      <xdr:blipFill>
        <a:blip xmlns:r="http://schemas.openxmlformats.org/officeDocument/2006/relationships" r:embed="rId25">
          <a:extLst>
            <a:ext uri="{96DAC541-7B7A-43D3-8B79-37D633B846F1}">
              <asvg:svgBlip xmlns:asvg="http://schemas.microsoft.com/office/drawing/2016/SVG/main" r:embed="rId26"/>
            </a:ext>
          </a:extLst>
        </a:blip>
        <a:stretch>
          <a:fillRect/>
        </a:stretch>
      </xdr:blipFill>
      <xdr:spPr>
        <a:xfrm>
          <a:off x="16510000" y="4823557"/>
          <a:ext cx="561731" cy="561731"/>
        </a:xfrm>
        <a:prstGeom prst="rect">
          <a:avLst/>
        </a:prstGeom>
      </xdr:spPr>
    </xdr:pic>
    <xdr:clientData/>
  </xdr:twoCellAnchor>
  <xdr:twoCellAnchor editAs="oneCell">
    <xdr:from>
      <xdr:col>28</xdr:col>
      <xdr:colOff>12211</xdr:colOff>
      <xdr:row>34</xdr:row>
      <xdr:rowOff>109904</xdr:rowOff>
    </xdr:from>
    <xdr:to>
      <xdr:col>28</xdr:col>
      <xdr:colOff>573942</xdr:colOff>
      <xdr:row>37</xdr:row>
      <xdr:rowOff>85481</xdr:rowOff>
    </xdr:to>
    <xdr:pic>
      <xdr:nvPicPr>
        <xdr:cNvPr id="61" name="Graphic 60" descr="Oog met effen opvulling">
          <a:extLst>
            <a:ext uri="{FF2B5EF4-FFF2-40B4-BE49-F238E27FC236}">
              <a16:creationId xmlns:a16="http://schemas.microsoft.com/office/drawing/2014/main" id="{50502228-57B9-4F72-A2D9-309D35AEF053}"/>
            </a:ext>
          </a:extLst>
        </xdr:cNvPr>
        <xdr:cNvPicPr>
          <a:picLocks noChangeAspect="1"/>
        </xdr:cNvPicPr>
      </xdr:nvPicPr>
      <xdr:blipFill>
        <a:blip xmlns:r="http://schemas.openxmlformats.org/officeDocument/2006/relationships" r:embed="rId25">
          <a:extLst>
            <a:ext uri="{96DAC541-7B7A-43D3-8B79-37D633B846F1}">
              <asvg:svgBlip xmlns:asvg="http://schemas.microsoft.com/office/drawing/2016/SVG/main" r:embed="rId26"/>
            </a:ext>
          </a:extLst>
        </a:blip>
        <a:stretch>
          <a:fillRect/>
        </a:stretch>
      </xdr:blipFill>
      <xdr:spPr>
        <a:xfrm>
          <a:off x="16497788" y="6752981"/>
          <a:ext cx="561731" cy="561731"/>
        </a:xfrm>
        <a:prstGeom prst="rect">
          <a:avLst/>
        </a:prstGeom>
      </xdr:spPr>
    </xdr:pic>
    <xdr:clientData/>
  </xdr:twoCellAnchor>
  <xdr:twoCellAnchor editAs="oneCell">
    <xdr:from>
      <xdr:col>18</xdr:col>
      <xdr:colOff>85618</xdr:colOff>
      <xdr:row>42</xdr:row>
      <xdr:rowOff>171237</xdr:rowOff>
    </xdr:from>
    <xdr:to>
      <xdr:col>19</xdr:col>
      <xdr:colOff>69590</xdr:colOff>
      <xdr:row>45</xdr:row>
      <xdr:rowOff>187316</xdr:rowOff>
    </xdr:to>
    <xdr:pic>
      <xdr:nvPicPr>
        <xdr:cNvPr id="63" name="Graphic 62" descr="Badge 7 silhouet">
          <a:extLst>
            <a:ext uri="{FF2B5EF4-FFF2-40B4-BE49-F238E27FC236}">
              <a16:creationId xmlns:a16="http://schemas.microsoft.com/office/drawing/2014/main" id="{196FBE8A-A916-EEDE-C42A-8E1B4720C667}"/>
            </a:ext>
          </a:extLst>
        </xdr:cNvPr>
        <xdr:cNvPicPr>
          <a:picLocks noChangeAspect="1"/>
        </xdr:cNvPicPr>
      </xdr:nvPicPr>
      <xdr:blipFill>
        <a:blip xmlns:r="http://schemas.openxmlformats.org/officeDocument/2006/relationships" r:embed="rId27">
          <a:extLst>
            <a:ext uri="{96DAC541-7B7A-43D3-8B79-37D633B846F1}">
              <asvg:svgBlip xmlns:asvg="http://schemas.microsoft.com/office/drawing/2016/SVG/main" r:embed="rId28"/>
            </a:ext>
          </a:extLst>
        </a:blip>
        <a:stretch>
          <a:fillRect/>
        </a:stretch>
      </xdr:blipFill>
      <xdr:spPr>
        <a:xfrm>
          <a:off x="10456096" y="8337052"/>
          <a:ext cx="594000" cy="594000"/>
        </a:xfrm>
        <a:prstGeom prst="rect">
          <a:avLst/>
        </a:prstGeom>
      </xdr:spPr>
    </xdr:pic>
    <xdr:clientData/>
  </xdr:twoCellAnchor>
  <xdr:twoCellAnchor editAs="oneCell">
    <xdr:from>
      <xdr:col>18</xdr:col>
      <xdr:colOff>74915</xdr:colOff>
      <xdr:row>47</xdr:row>
      <xdr:rowOff>139129</xdr:rowOff>
    </xdr:from>
    <xdr:to>
      <xdr:col>19</xdr:col>
      <xdr:colOff>58887</xdr:colOff>
      <xdr:row>50</xdr:row>
      <xdr:rowOff>155208</xdr:rowOff>
    </xdr:to>
    <xdr:pic>
      <xdr:nvPicPr>
        <xdr:cNvPr id="65" name="Graphic 64" descr="Badge 8 silhouet">
          <a:extLst>
            <a:ext uri="{FF2B5EF4-FFF2-40B4-BE49-F238E27FC236}">
              <a16:creationId xmlns:a16="http://schemas.microsoft.com/office/drawing/2014/main" id="{45B138C2-BB8A-7CF9-41FB-0AE34D4E7D6E}"/>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10445393" y="9278848"/>
          <a:ext cx="594000" cy="594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25</xdr:col>
      <xdr:colOff>594689</xdr:colOff>
      <xdr:row>10</xdr:row>
      <xdr:rowOff>43279</xdr:rowOff>
    </xdr:from>
    <xdr:to>
      <xdr:col>42</xdr:col>
      <xdr:colOff>490682</xdr:colOff>
      <xdr:row>25</xdr:row>
      <xdr:rowOff>2106</xdr:rowOff>
    </xdr:to>
    <xdr:graphicFrame macro="">
      <xdr:nvGraphicFramePr>
        <xdr:cNvPr id="2" name="Grafiek 1">
          <a:extLst>
            <a:ext uri="{FF2B5EF4-FFF2-40B4-BE49-F238E27FC236}">
              <a16:creationId xmlns:a16="http://schemas.microsoft.com/office/drawing/2014/main" id="{84974FA3-1017-45D1-BC88-350A599F9C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2646</xdr:colOff>
      <xdr:row>10</xdr:row>
      <xdr:rowOff>26458</xdr:rowOff>
    </xdr:from>
    <xdr:to>
      <xdr:col>24</xdr:col>
      <xdr:colOff>0</xdr:colOff>
      <xdr:row>25</xdr:row>
      <xdr:rowOff>7938</xdr:rowOff>
    </xdr:to>
    <xdr:graphicFrame macro="">
      <xdr:nvGraphicFramePr>
        <xdr:cNvPr id="3" name="Grafiek 2">
          <a:extLst>
            <a:ext uri="{FF2B5EF4-FFF2-40B4-BE49-F238E27FC236}">
              <a16:creationId xmlns:a16="http://schemas.microsoft.com/office/drawing/2014/main" id="{C351EF82-9749-4DEC-B4C1-5B354DBB51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5470</xdr:colOff>
      <xdr:row>46</xdr:row>
      <xdr:rowOff>54393</xdr:rowOff>
    </xdr:from>
    <xdr:to>
      <xdr:col>23</xdr:col>
      <xdr:colOff>505112</xdr:colOff>
      <xdr:row>64</xdr:row>
      <xdr:rowOff>28008</xdr:rowOff>
    </xdr:to>
    <xdr:graphicFrame macro="">
      <xdr:nvGraphicFramePr>
        <xdr:cNvPr id="6" name="Grafiek 5">
          <a:extLst>
            <a:ext uri="{FF2B5EF4-FFF2-40B4-BE49-F238E27FC236}">
              <a16:creationId xmlns:a16="http://schemas.microsoft.com/office/drawing/2014/main" id="{AA781226-AB92-48B7-A4E7-0DB27A2D18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26</xdr:col>
      <xdr:colOff>9866</xdr:colOff>
      <xdr:row>27</xdr:row>
      <xdr:rowOff>570949</xdr:rowOff>
    </xdr:from>
    <xdr:to>
      <xdr:col>42</xdr:col>
      <xdr:colOff>455542</xdr:colOff>
      <xdr:row>42</xdr:row>
      <xdr:rowOff>56274</xdr:rowOff>
    </xdr:to>
    <xdr:graphicFrame macro="">
      <xdr:nvGraphicFramePr>
        <xdr:cNvPr id="5" name="Grafiek 4">
          <a:extLst>
            <a:ext uri="{FF2B5EF4-FFF2-40B4-BE49-F238E27FC236}">
              <a16:creationId xmlns:a16="http://schemas.microsoft.com/office/drawing/2014/main" id="{6B9B1A24-DA63-EE96-C43F-1D261CD6E4E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15</xdr:col>
      <xdr:colOff>1</xdr:colOff>
      <xdr:row>28</xdr:row>
      <xdr:rowOff>1393</xdr:rowOff>
    </xdr:from>
    <xdr:to>
      <xdr:col>23</xdr:col>
      <xdr:colOff>562839</xdr:colOff>
      <xdr:row>41</xdr:row>
      <xdr:rowOff>92409</xdr:rowOff>
    </xdr:to>
    <xdr:graphicFrame macro="">
      <xdr:nvGraphicFramePr>
        <xdr:cNvPr id="11" name="Grafiek 10">
          <a:extLst>
            <a:ext uri="{FF2B5EF4-FFF2-40B4-BE49-F238E27FC236}">
              <a16:creationId xmlns:a16="http://schemas.microsoft.com/office/drawing/2014/main" id="{ADA5F349-0A40-43B8-94F0-48B90C4EBA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26</xdr:col>
      <xdr:colOff>3719</xdr:colOff>
      <xdr:row>46</xdr:row>
      <xdr:rowOff>36614</xdr:rowOff>
    </xdr:from>
    <xdr:to>
      <xdr:col>36</xdr:col>
      <xdr:colOff>33797</xdr:colOff>
      <xdr:row>64</xdr:row>
      <xdr:rowOff>15672</xdr:rowOff>
    </xdr:to>
    <xdr:graphicFrame macro="">
      <xdr:nvGraphicFramePr>
        <xdr:cNvPr id="13" name="Grafiek 12">
          <a:extLst>
            <a:ext uri="{FF2B5EF4-FFF2-40B4-BE49-F238E27FC236}">
              <a16:creationId xmlns:a16="http://schemas.microsoft.com/office/drawing/2014/main" id="{6A4CBEF3-4CED-7FE4-BBEF-F111C20D856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FD113AE-6F30-4EB9-9268-946108DC6A00}" name="Tabel2" displayName="Tabel2" ref="A1:F90" totalsRowShown="0" headerRowDxfId="41" dataDxfId="40">
  <autoFilter ref="A1:F90" xr:uid="{8FD113AE-6F30-4EB9-9268-946108DC6A00}"/>
  <tableColumns count="6">
    <tableColumn id="1" xr3:uid="{B4A2B48F-E97E-452F-91A6-ABC34F6431FB}" name="ID" dataDxfId="39"/>
    <tableColumn id="2" xr3:uid="{8BF12AD6-CDE0-4E1D-A69D-D36D22B0BBC8}" name="Proces" dataDxfId="38"/>
    <tableColumn id="3" xr3:uid="{0414D635-8778-4124-B9BA-DE6B28486395}" name="Eis" dataDxfId="37"/>
    <tableColumn id="4" xr3:uid="{6C26379E-990E-4854-8DCB-A85F53654F5E}" name="Functie" dataDxfId="36"/>
    <tableColumn id="5" xr3:uid="{BB2AA777-146D-4B17-8802-475AD3167C85}" name="MoSCoW" dataDxfId="35"/>
    <tableColumn id="6" xr3:uid="{BC0E1536-1734-4DA6-BB60-02257F6A89BC}" name="Bronvermelding" dataDxfId="34"/>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2F2C8DA-1AF1-4F86-A3C0-F41F3490379A}" name="Tabel3" displayName="Tabel3" ref="A1:D24" totalsRowShown="0" headerRowDxfId="33" dataDxfId="32">
  <autoFilter ref="A1:D24" xr:uid="{12F2C8DA-1AF1-4F86-A3C0-F41F3490379A}"/>
  <tableColumns count="4">
    <tableColumn id="1" xr3:uid="{DD698364-F95D-4D70-A1A8-27EF6A304236}" name="ID" dataDxfId="31"/>
    <tableColumn id="2" xr3:uid="{E03ED42F-6852-43CC-B213-2925FD374A9E}" name="Module" dataDxfId="30"/>
    <tableColumn id="3" xr3:uid="{19EBB466-F43F-4294-8E67-2A7207463A99}" name="Randvoorwaarde" dataDxfId="29"/>
    <tableColumn id="4" xr3:uid="{D35CFE29-E31D-4456-A205-9E71A3CE3F5D}" name="Nadere toelichting" dataDxfId="28"/>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table" Target="../tables/table1.xml"/></Relationships>
</file>

<file path=xl/worksheets/_rels/sheet8.xml.rels><?xml version="1.0" encoding="UTF-8" standalone="yes"?>
<Relationships xmlns="http://schemas.openxmlformats.org/package/2006/relationships"><Relationship Id="rId8" Type="http://schemas.openxmlformats.org/officeDocument/2006/relationships/hyperlink" Target="https://www.nationaalarchief.nl/archiveren/kennisbank/handreiking-digitaal-vernietigen" TargetMode="External"/><Relationship Id="rId3" Type="http://schemas.openxmlformats.org/officeDocument/2006/relationships/hyperlink" Target="https://www.noraonline.nl/wiki/Identity_%26_Access_Management_(IAM)" TargetMode="External"/><Relationship Id="rId7" Type="http://schemas.openxmlformats.org/officeDocument/2006/relationships/hyperlink" Target="https://www.pidwijzer.nl/" TargetMode="External"/><Relationship Id="rId2" Type="http://schemas.openxmlformats.org/officeDocument/2006/relationships/hyperlink" Target="https://cip-overheid.nl/media/uvplkjfz/20230322-bio-thema-uitwerking-toegangsbeveiliging-v22-def.pdf" TargetMode="External"/><Relationship Id="rId1" Type="http://schemas.openxmlformats.org/officeDocument/2006/relationships/hyperlink" Target="https://www.nationaalarchief.nl/archiveren/preservering" TargetMode="External"/><Relationship Id="rId6" Type="http://schemas.openxmlformats.org/officeDocument/2006/relationships/hyperlink" Target="https://www.nationaalarchief.nl/archiveren/kennisbank/classificatieschema" TargetMode="External"/><Relationship Id="rId5" Type="http://schemas.openxmlformats.org/officeDocument/2006/relationships/hyperlink" Target="https://www.forumstandaardisatie.nl/open-standaarden" TargetMode="External"/><Relationship Id="rId10" Type="http://schemas.openxmlformats.org/officeDocument/2006/relationships/table" Target="../tables/table2.xml"/><Relationship Id="rId4" Type="http://schemas.openxmlformats.org/officeDocument/2006/relationships/hyperlink" Target="https://www.nationaalarchief.nl/archiveren/kennisbank/vastgestelde-selectielijsten" TargetMode="External"/><Relationship Id="rId9" Type="http://schemas.openxmlformats.org/officeDocument/2006/relationships/hyperlink" Target="https://www.nationaalarchief.nl/archiveren/mdto"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559D7-F967-4D6C-9B7B-8DB41E06194C}">
  <dimension ref="C1:AG78"/>
  <sheetViews>
    <sheetView zoomScale="75" zoomScaleNormal="75" workbookViewId="0">
      <selection activeCell="A8" sqref="A8"/>
    </sheetView>
  </sheetViews>
  <sheetFormatPr defaultRowHeight="15"/>
  <cols>
    <col min="18" max="18" width="9.140625" style="459"/>
  </cols>
  <sheetData>
    <row r="1" spans="3:33" ht="15" customHeight="1">
      <c r="C1" s="284" t="s">
        <v>872</v>
      </c>
      <c r="D1" s="285"/>
      <c r="E1" s="285"/>
      <c r="F1" s="285"/>
      <c r="G1" s="285"/>
      <c r="H1" s="285"/>
      <c r="I1" s="285"/>
      <c r="J1" s="285"/>
      <c r="K1" s="285"/>
      <c r="L1" s="285"/>
      <c r="M1" s="285"/>
      <c r="N1" s="285"/>
      <c r="O1" s="285"/>
      <c r="P1" s="285"/>
      <c r="Q1" s="286"/>
      <c r="R1" s="446"/>
      <c r="S1" s="284" t="s">
        <v>902</v>
      </c>
      <c r="T1" s="285"/>
      <c r="U1" s="285"/>
      <c r="V1" s="285"/>
      <c r="W1" s="285"/>
      <c r="X1" s="285"/>
      <c r="Y1" s="285"/>
      <c r="Z1" s="285"/>
      <c r="AA1" s="285"/>
      <c r="AB1" s="285"/>
      <c r="AC1" s="285"/>
      <c r="AD1" s="285"/>
      <c r="AE1" s="285"/>
      <c r="AF1" s="286"/>
      <c r="AG1" s="215"/>
    </row>
    <row r="2" spans="3:33" ht="15" customHeight="1">
      <c r="C2" s="287"/>
      <c r="D2" s="288"/>
      <c r="E2" s="288"/>
      <c r="F2" s="288"/>
      <c r="G2" s="288"/>
      <c r="H2" s="288"/>
      <c r="I2" s="288"/>
      <c r="J2" s="288"/>
      <c r="K2" s="288"/>
      <c r="L2" s="288"/>
      <c r="M2" s="288"/>
      <c r="N2" s="288"/>
      <c r="O2" s="288"/>
      <c r="P2" s="288"/>
      <c r="Q2" s="289"/>
      <c r="R2" s="447"/>
      <c r="S2" s="287"/>
      <c r="T2" s="288"/>
      <c r="U2" s="288"/>
      <c r="V2" s="288"/>
      <c r="W2" s="288"/>
      <c r="X2" s="288"/>
      <c r="Y2" s="288"/>
      <c r="Z2" s="288"/>
      <c r="AA2" s="288"/>
      <c r="AB2" s="288"/>
      <c r="AC2" s="288"/>
      <c r="AD2" s="288"/>
      <c r="AE2" s="288"/>
      <c r="AF2" s="289"/>
      <c r="AG2" s="216"/>
    </row>
    <row r="3" spans="3:33" ht="15" customHeight="1">
      <c r="C3" s="348" t="s">
        <v>873</v>
      </c>
      <c r="D3" s="349"/>
      <c r="E3" s="349"/>
      <c r="F3" s="349"/>
      <c r="G3" s="349"/>
      <c r="H3" s="349"/>
      <c r="I3" s="349"/>
      <c r="J3" s="349"/>
      <c r="K3" s="349"/>
      <c r="L3" s="349"/>
      <c r="M3" s="349"/>
      <c r="N3" s="349"/>
      <c r="O3" s="349"/>
      <c r="P3" s="349"/>
      <c r="Q3" s="460"/>
      <c r="R3" s="448"/>
      <c r="S3" s="290" t="s">
        <v>903</v>
      </c>
      <c r="T3" s="291"/>
      <c r="U3" s="291"/>
      <c r="V3" s="291"/>
      <c r="W3" s="291"/>
      <c r="X3" s="291"/>
      <c r="Y3" s="291"/>
      <c r="Z3" s="291"/>
      <c r="AA3" s="291"/>
      <c r="AB3" s="291"/>
      <c r="AC3" s="291"/>
      <c r="AD3" s="291"/>
      <c r="AE3" s="291"/>
      <c r="AF3" s="292"/>
      <c r="AG3" s="217"/>
    </row>
    <row r="4" spans="3:33" ht="15" customHeight="1">
      <c r="C4" s="222"/>
      <c r="D4" s="220"/>
      <c r="E4" s="220"/>
      <c r="F4" s="220"/>
      <c r="G4" s="220"/>
      <c r="H4" s="220"/>
      <c r="I4" s="220"/>
      <c r="J4" s="220"/>
      <c r="K4" s="220"/>
      <c r="L4" s="220"/>
      <c r="M4" s="220"/>
      <c r="N4" s="220"/>
      <c r="O4" s="220"/>
      <c r="P4" s="220"/>
      <c r="Q4" s="223"/>
      <c r="R4" s="449"/>
      <c r="S4" s="290"/>
      <c r="T4" s="291"/>
      <c r="U4" s="291"/>
      <c r="V4" s="291"/>
      <c r="W4" s="291"/>
      <c r="X4" s="291"/>
      <c r="Y4" s="291"/>
      <c r="Z4" s="291"/>
      <c r="AA4" s="291"/>
      <c r="AB4" s="291"/>
      <c r="AC4" s="291"/>
      <c r="AD4" s="291"/>
      <c r="AE4" s="291"/>
      <c r="AF4" s="292"/>
      <c r="AG4" s="217"/>
    </row>
    <row r="5" spans="3:33">
      <c r="C5" s="277" t="s">
        <v>874</v>
      </c>
      <c r="D5" s="278"/>
      <c r="E5" s="278"/>
      <c r="F5" s="278"/>
      <c r="G5" s="278"/>
      <c r="H5" s="278"/>
      <c r="I5" s="278"/>
      <c r="J5" s="278"/>
      <c r="K5" s="278"/>
      <c r="L5" s="278"/>
      <c r="M5" s="278"/>
      <c r="N5" s="278"/>
      <c r="O5" s="278"/>
      <c r="P5" s="278"/>
      <c r="Q5" s="461"/>
      <c r="R5" s="200"/>
      <c r="S5" s="293" t="s">
        <v>904</v>
      </c>
      <c r="T5" s="294"/>
      <c r="U5" s="294"/>
      <c r="V5" s="294"/>
      <c r="W5" s="219"/>
      <c r="X5" s="297" t="s">
        <v>905</v>
      </c>
      <c r="Y5" s="297"/>
      <c r="Z5" s="297"/>
      <c r="AA5" s="297"/>
      <c r="AB5" s="219"/>
      <c r="AC5" s="297" t="s">
        <v>906</v>
      </c>
      <c r="AD5" s="297"/>
      <c r="AE5" s="297"/>
      <c r="AF5" s="299"/>
    </row>
    <row r="6" spans="3:33" ht="15" customHeight="1" thickBot="1">
      <c r="C6" s="350" t="s">
        <v>875</v>
      </c>
      <c r="D6" s="351"/>
      <c r="E6" s="351"/>
      <c r="F6" s="351"/>
      <c r="G6" s="351"/>
      <c r="H6" s="351"/>
      <c r="I6" s="351"/>
      <c r="J6" s="351"/>
      <c r="K6" s="351"/>
      <c r="L6" s="351"/>
      <c r="M6" s="351"/>
      <c r="N6" s="351"/>
      <c r="O6" s="351"/>
      <c r="P6" s="351"/>
      <c r="Q6" s="462"/>
      <c r="R6" s="450"/>
      <c r="S6" s="295"/>
      <c r="T6" s="296"/>
      <c r="U6" s="296"/>
      <c r="V6" s="296"/>
      <c r="W6" s="220"/>
      <c r="X6" s="298"/>
      <c r="Y6" s="298"/>
      <c r="Z6" s="298"/>
      <c r="AA6" s="298"/>
      <c r="AB6" s="220"/>
      <c r="AC6" s="298"/>
      <c r="AD6" s="298"/>
      <c r="AE6" s="298"/>
      <c r="AF6" s="300"/>
    </row>
    <row r="7" spans="3:33">
      <c r="C7" s="350"/>
      <c r="D7" s="351"/>
      <c r="E7" s="351"/>
      <c r="F7" s="351"/>
      <c r="G7" s="351"/>
      <c r="H7" s="351"/>
      <c r="I7" s="351"/>
      <c r="J7" s="351"/>
      <c r="K7" s="351"/>
      <c r="L7" s="351"/>
      <c r="M7" s="351"/>
      <c r="N7" s="351"/>
      <c r="O7" s="351"/>
      <c r="P7" s="351"/>
      <c r="Q7" s="462"/>
      <c r="R7" s="450"/>
      <c r="S7" s="301" t="s">
        <v>907</v>
      </c>
      <c r="T7" s="302"/>
      <c r="U7" s="302"/>
      <c r="V7" s="302"/>
      <c r="W7" s="302"/>
      <c r="X7" s="302"/>
      <c r="Y7" s="302"/>
      <c r="Z7" s="302"/>
      <c r="AA7" s="302"/>
      <c r="AB7" s="302"/>
      <c r="AC7" s="302"/>
      <c r="AD7" s="302"/>
      <c r="AE7" s="302"/>
      <c r="AF7" s="303"/>
    </row>
    <row r="8" spans="3:33" ht="15.75" thickBot="1">
      <c r="C8" s="350"/>
      <c r="D8" s="351"/>
      <c r="E8" s="351"/>
      <c r="F8" s="351"/>
      <c r="G8" s="351"/>
      <c r="H8" s="351"/>
      <c r="I8" s="351"/>
      <c r="J8" s="351"/>
      <c r="K8" s="351"/>
      <c r="L8" s="351"/>
      <c r="M8" s="351"/>
      <c r="N8" s="351"/>
      <c r="O8" s="351"/>
      <c r="P8" s="351"/>
      <c r="Q8" s="462"/>
      <c r="R8" s="450"/>
      <c r="S8" s="304"/>
      <c r="T8" s="305"/>
      <c r="U8" s="305"/>
      <c r="V8" s="305"/>
      <c r="W8" s="305"/>
      <c r="X8" s="305"/>
      <c r="Y8" s="305"/>
      <c r="Z8" s="305"/>
      <c r="AA8" s="305"/>
      <c r="AB8" s="305"/>
      <c r="AC8" s="305"/>
      <c r="AD8" s="305"/>
      <c r="AE8" s="305"/>
      <c r="AF8" s="306"/>
    </row>
    <row r="9" spans="3:33">
      <c r="C9" s="350"/>
      <c r="D9" s="351"/>
      <c r="E9" s="351"/>
      <c r="F9" s="351"/>
      <c r="G9" s="351"/>
      <c r="H9" s="351"/>
      <c r="I9" s="351"/>
      <c r="J9" s="351"/>
      <c r="K9" s="351"/>
      <c r="L9" s="351"/>
      <c r="M9" s="351"/>
      <c r="N9" s="351"/>
      <c r="O9" s="351"/>
      <c r="P9" s="351"/>
      <c r="Q9" s="462"/>
      <c r="R9" s="450"/>
      <c r="S9" s="230" t="s">
        <v>908</v>
      </c>
      <c r="T9" s="231"/>
      <c r="U9" s="231"/>
      <c r="V9" s="232"/>
      <c r="W9" s="221"/>
      <c r="X9" s="236" t="s">
        <v>911</v>
      </c>
      <c r="Y9" s="237"/>
      <c r="Z9" s="237"/>
      <c r="AA9" s="238"/>
      <c r="AB9" s="221"/>
      <c r="AC9" s="236" t="s">
        <v>914</v>
      </c>
      <c r="AD9" s="242"/>
      <c r="AE9" s="242"/>
      <c r="AF9" s="243"/>
    </row>
    <row r="10" spans="3:33">
      <c r="C10" s="350"/>
      <c r="D10" s="351"/>
      <c r="E10" s="351"/>
      <c r="F10" s="351"/>
      <c r="G10" s="351"/>
      <c r="H10" s="351"/>
      <c r="I10" s="351"/>
      <c r="J10" s="351"/>
      <c r="K10" s="351"/>
      <c r="L10" s="351"/>
      <c r="M10" s="351"/>
      <c r="N10" s="351"/>
      <c r="O10" s="351"/>
      <c r="P10" s="351"/>
      <c r="Q10" s="462"/>
      <c r="R10" s="450"/>
      <c r="S10" s="230"/>
      <c r="T10" s="231"/>
      <c r="U10" s="231"/>
      <c r="V10" s="232"/>
      <c r="W10" s="221"/>
      <c r="X10" s="236"/>
      <c r="Y10" s="237"/>
      <c r="Z10" s="237"/>
      <c r="AA10" s="238"/>
      <c r="AB10" s="221"/>
      <c r="AC10" s="244"/>
      <c r="AD10" s="242"/>
      <c r="AE10" s="242"/>
      <c r="AF10" s="243"/>
    </row>
    <row r="11" spans="3:33">
      <c r="C11" s="350"/>
      <c r="D11" s="351"/>
      <c r="E11" s="351"/>
      <c r="F11" s="351"/>
      <c r="G11" s="351"/>
      <c r="H11" s="351"/>
      <c r="I11" s="351"/>
      <c r="J11" s="351"/>
      <c r="K11" s="351"/>
      <c r="L11" s="351"/>
      <c r="M11" s="351"/>
      <c r="N11" s="351"/>
      <c r="O11" s="351"/>
      <c r="P11" s="351"/>
      <c r="Q11" s="462"/>
      <c r="R11" s="450"/>
      <c r="S11" s="230"/>
      <c r="T11" s="231"/>
      <c r="U11" s="231"/>
      <c r="V11" s="232"/>
      <c r="W11" s="221"/>
      <c r="X11" s="236"/>
      <c r="Y11" s="237"/>
      <c r="Z11" s="237"/>
      <c r="AA11" s="238"/>
      <c r="AB11" s="221"/>
      <c r="AC11" s="244"/>
      <c r="AD11" s="242"/>
      <c r="AE11" s="242"/>
      <c r="AF11" s="243"/>
    </row>
    <row r="12" spans="3:33">
      <c r="C12" s="352" t="s">
        <v>876</v>
      </c>
      <c r="D12" s="353"/>
      <c r="E12" s="353"/>
      <c r="F12" s="353"/>
      <c r="G12" s="353"/>
      <c r="H12" s="353"/>
      <c r="I12" s="353"/>
      <c r="J12" s="353"/>
      <c r="K12" s="353"/>
      <c r="L12" s="353"/>
      <c r="M12" s="353"/>
      <c r="N12" s="353"/>
      <c r="O12" s="353"/>
      <c r="P12" s="353"/>
      <c r="Q12" s="463"/>
      <c r="R12" s="451"/>
      <c r="S12" s="230"/>
      <c r="T12" s="231"/>
      <c r="U12" s="231"/>
      <c r="V12" s="232"/>
      <c r="W12" s="221"/>
      <c r="X12" s="236"/>
      <c r="Y12" s="237"/>
      <c r="Z12" s="237"/>
      <c r="AA12" s="238"/>
      <c r="AB12" s="221"/>
      <c r="AC12" s="244"/>
      <c r="AD12" s="242"/>
      <c r="AE12" s="242"/>
      <c r="AF12" s="243"/>
    </row>
    <row r="13" spans="3:33" ht="15" customHeight="1" thickBot="1">
      <c r="C13" s="336" t="s">
        <v>877</v>
      </c>
      <c r="D13" s="337"/>
      <c r="E13" s="337"/>
      <c r="F13" s="337"/>
      <c r="G13" s="337"/>
      <c r="H13" s="337"/>
      <c r="I13" s="337"/>
      <c r="J13" s="337"/>
      <c r="K13" s="337"/>
      <c r="L13" s="337"/>
      <c r="M13" s="337"/>
      <c r="N13" s="337"/>
      <c r="O13" s="337"/>
      <c r="P13" s="337"/>
      <c r="Q13" s="464"/>
      <c r="R13" s="452"/>
      <c r="S13" s="233"/>
      <c r="T13" s="234"/>
      <c r="U13" s="234"/>
      <c r="V13" s="235"/>
      <c r="W13" s="221"/>
      <c r="X13" s="239"/>
      <c r="Y13" s="240"/>
      <c r="Z13" s="240"/>
      <c r="AA13" s="241"/>
      <c r="AB13" s="221"/>
      <c r="AC13" s="245"/>
      <c r="AD13" s="246"/>
      <c r="AE13" s="246"/>
      <c r="AF13" s="247"/>
    </row>
    <row r="14" spans="3:33">
      <c r="C14" s="336"/>
      <c r="D14" s="337"/>
      <c r="E14" s="337"/>
      <c r="F14" s="337"/>
      <c r="G14" s="337"/>
      <c r="H14" s="337"/>
      <c r="I14" s="337"/>
      <c r="J14" s="337"/>
      <c r="K14" s="337"/>
      <c r="L14" s="337"/>
      <c r="M14" s="337"/>
      <c r="N14" s="337"/>
      <c r="O14" s="337"/>
      <c r="P14" s="337"/>
      <c r="Q14" s="464"/>
      <c r="R14" s="452"/>
      <c r="S14" s="227" t="s">
        <v>909</v>
      </c>
      <c r="T14" s="228"/>
      <c r="U14" s="228"/>
      <c r="V14" s="229"/>
      <c r="W14" s="221"/>
      <c r="X14" s="248" t="s">
        <v>912</v>
      </c>
      <c r="Y14" s="249"/>
      <c r="Z14" s="249"/>
      <c r="AA14" s="250"/>
      <c r="AB14" s="221"/>
      <c r="AC14" s="248" t="s">
        <v>915</v>
      </c>
      <c r="AD14" s="249"/>
      <c r="AE14" s="249"/>
      <c r="AF14" s="250"/>
    </row>
    <row r="15" spans="3:33">
      <c r="C15" s="336"/>
      <c r="D15" s="337"/>
      <c r="E15" s="337"/>
      <c r="F15" s="337"/>
      <c r="G15" s="337"/>
      <c r="H15" s="337"/>
      <c r="I15" s="337"/>
      <c r="J15" s="337"/>
      <c r="K15" s="337"/>
      <c r="L15" s="337"/>
      <c r="M15" s="337"/>
      <c r="N15" s="337"/>
      <c r="O15" s="337"/>
      <c r="P15" s="337"/>
      <c r="Q15" s="464"/>
      <c r="R15" s="452"/>
      <c r="S15" s="230"/>
      <c r="T15" s="231"/>
      <c r="U15" s="231"/>
      <c r="V15" s="232"/>
      <c r="W15" s="221"/>
      <c r="X15" s="236"/>
      <c r="Y15" s="237"/>
      <c r="Z15" s="237"/>
      <c r="AA15" s="238"/>
      <c r="AB15" s="221"/>
      <c r="AC15" s="236"/>
      <c r="AD15" s="237"/>
      <c r="AE15" s="237"/>
      <c r="AF15" s="238"/>
    </row>
    <row r="16" spans="3:33">
      <c r="C16" s="336"/>
      <c r="D16" s="337"/>
      <c r="E16" s="337"/>
      <c r="F16" s="337"/>
      <c r="G16" s="337"/>
      <c r="H16" s="337"/>
      <c r="I16" s="337"/>
      <c r="J16" s="337"/>
      <c r="K16" s="337"/>
      <c r="L16" s="337"/>
      <c r="M16" s="337"/>
      <c r="N16" s="337"/>
      <c r="O16" s="337"/>
      <c r="P16" s="337"/>
      <c r="Q16" s="464"/>
      <c r="R16" s="452"/>
      <c r="S16" s="230"/>
      <c r="T16" s="231"/>
      <c r="U16" s="231"/>
      <c r="V16" s="232"/>
      <c r="W16" s="221"/>
      <c r="X16" s="236"/>
      <c r="Y16" s="237"/>
      <c r="Z16" s="237"/>
      <c r="AA16" s="238"/>
      <c r="AB16" s="221"/>
      <c r="AC16" s="236"/>
      <c r="AD16" s="237"/>
      <c r="AE16" s="237"/>
      <c r="AF16" s="238"/>
    </row>
    <row r="17" spans="3:32">
      <c r="C17" s="336"/>
      <c r="D17" s="337"/>
      <c r="E17" s="337"/>
      <c r="F17" s="337"/>
      <c r="G17" s="337"/>
      <c r="H17" s="337"/>
      <c r="I17" s="337"/>
      <c r="J17" s="337"/>
      <c r="K17" s="337"/>
      <c r="L17" s="337"/>
      <c r="M17" s="337"/>
      <c r="N17" s="337"/>
      <c r="O17" s="337"/>
      <c r="P17" s="337"/>
      <c r="Q17" s="464"/>
      <c r="R17" s="452"/>
      <c r="S17" s="230"/>
      <c r="T17" s="231"/>
      <c r="U17" s="231"/>
      <c r="V17" s="232"/>
      <c r="W17" s="221"/>
      <c r="X17" s="236"/>
      <c r="Y17" s="237"/>
      <c r="Z17" s="237"/>
      <c r="AA17" s="238"/>
      <c r="AB17" s="221"/>
      <c r="AC17" s="236"/>
      <c r="AD17" s="237"/>
      <c r="AE17" s="237"/>
      <c r="AF17" s="238"/>
    </row>
    <row r="18" spans="3:32" ht="15.75" thickBot="1">
      <c r="C18" s="336"/>
      <c r="D18" s="337"/>
      <c r="E18" s="337"/>
      <c r="F18" s="337"/>
      <c r="G18" s="337"/>
      <c r="H18" s="337"/>
      <c r="I18" s="337"/>
      <c r="J18" s="337"/>
      <c r="K18" s="337"/>
      <c r="L18" s="337"/>
      <c r="M18" s="337"/>
      <c r="N18" s="337"/>
      <c r="O18" s="337"/>
      <c r="P18" s="337"/>
      <c r="Q18" s="464"/>
      <c r="R18" s="452"/>
      <c r="S18" s="233"/>
      <c r="T18" s="234"/>
      <c r="U18" s="234"/>
      <c r="V18" s="235"/>
      <c r="W18" s="221"/>
      <c r="X18" s="239"/>
      <c r="Y18" s="240"/>
      <c r="Z18" s="240"/>
      <c r="AA18" s="241"/>
      <c r="AB18" s="221"/>
      <c r="AC18" s="239"/>
      <c r="AD18" s="240"/>
      <c r="AE18" s="240"/>
      <c r="AF18" s="241"/>
    </row>
    <row r="19" spans="3:32">
      <c r="C19" s="336"/>
      <c r="D19" s="337"/>
      <c r="E19" s="337"/>
      <c r="F19" s="337"/>
      <c r="G19" s="337"/>
      <c r="H19" s="337"/>
      <c r="I19" s="337"/>
      <c r="J19" s="337"/>
      <c r="K19" s="337"/>
      <c r="L19" s="337"/>
      <c r="M19" s="337"/>
      <c r="N19" s="337"/>
      <c r="O19" s="337"/>
      <c r="P19" s="337"/>
      <c r="Q19" s="464"/>
      <c r="R19" s="452"/>
      <c r="S19" s="307" t="s">
        <v>910</v>
      </c>
      <c r="T19" s="228"/>
      <c r="U19" s="228"/>
      <c r="V19" s="229"/>
      <c r="W19" s="221"/>
      <c r="X19" s="248" t="s">
        <v>913</v>
      </c>
      <c r="Y19" s="249"/>
      <c r="Z19" s="249"/>
      <c r="AA19" s="250"/>
      <c r="AB19" s="221"/>
      <c r="AC19" s="248" t="s">
        <v>932</v>
      </c>
      <c r="AD19" s="249"/>
      <c r="AE19" s="249"/>
      <c r="AF19" s="250"/>
    </row>
    <row r="20" spans="3:32">
      <c r="C20" s="336"/>
      <c r="D20" s="337"/>
      <c r="E20" s="337"/>
      <c r="F20" s="337"/>
      <c r="G20" s="337"/>
      <c r="H20" s="337"/>
      <c r="I20" s="337"/>
      <c r="J20" s="337"/>
      <c r="K20" s="337"/>
      <c r="L20" s="337"/>
      <c r="M20" s="337"/>
      <c r="N20" s="337"/>
      <c r="O20" s="337"/>
      <c r="P20" s="337"/>
      <c r="Q20" s="464"/>
      <c r="R20" s="452"/>
      <c r="S20" s="230"/>
      <c r="T20" s="231"/>
      <c r="U20" s="231"/>
      <c r="V20" s="232"/>
      <c r="W20" s="221"/>
      <c r="X20" s="236"/>
      <c r="Y20" s="237"/>
      <c r="Z20" s="237"/>
      <c r="AA20" s="238"/>
      <c r="AB20" s="221"/>
      <c r="AC20" s="236"/>
      <c r="AD20" s="237"/>
      <c r="AE20" s="237"/>
      <c r="AF20" s="238"/>
    </row>
    <row r="21" spans="3:32">
      <c r="C21" s="336"/>
      <c r="D21" s="337"/>
      <c r="E21" s="337"/>
      <c r="F21" s="337"/>
      <c r="G21" s="337"/>
      <c r="H21" s="337"/>
      <c r="I21" s="337"/>
      <c r="J21" s="337"/>
      <c r="K21" s="337"/>
      <c r="L21" s="337"/>
      <c r="M21" s="337"/>
      <c r="N21" s="337"/>
      <c r="O21" s="337"/>
      <c r="P21" s="337"/>
      <c r="Q21" s="464"/>
      <c r="R21" s="452"/>
      <c r="S21" s="230"/>
      <c r="T21" s="231"/>
      <c r="U21" s="231"/>
      <c r="V21" s="232"/>
      <c r="W21" s="221"/>
      <c r="X21" s="236"/>
      <c r="Y21" s="237"/>
      <c r="Z21" s="237"/>
      <c r="AA21" s="238"/>
      <c r="AB21" s="221"/>
      <c r="AC21" s="236"/>
      <c r="AD21" s="237"/>
      <c r="AE21" s="237"/>
      <c r="AF21" s="238"/>
    </row>
    <row r="22" spans="3:32">
      <c r="C22" s="277" t="s">
        <v>878</v>
      </c>
      <c r="D22" s="278"/>
      <c r="E22" s="278"/>
      <c r="F22" s="278"/>
      <c r="G22" s="278"/>
      <c r="H22" s="278"/>
      <c r="I22" s="278"/>
      <c r="J22" s="278"/>
      <c r="K22" s="278"/>
      <c r="L22" s="278"/>
      <c r="M22" s="278"/>
      <c r="N22" s="278"/>
      <c r="O22" s="278"/>
      <c r="P22" s="278"/>
      <c r="Q22" s="461"/>
      <c r="R22" s="200"/>
      <c r="S22" s="230"/>
      <c r="T22" s="231"/>
      <c r="U22" s="231"/>
      <c r="V22" s="232"/>
      <c r="W22" s="221"/>
      <c r="X22" s="236"/>
      <c r="Y22" s="237"/>
      <c r="Z22" s="237"/>
      <c r="AA22" s="238"/>
      <c r="AB22" s="221"/>
      <c r="AC22" s="236"/>
      <c r="AD22" s="237"/>
      <c r="AE22" s="237"/>
      <c r="AF22" s="238"/>
    </row>
    <row r="23" spans="3:32" ht="15" customHeight="1" thickBot="1">
      <c r="C23" s="336" t="s">
        <v>879</v>
      </c>
      <c r="D23" s="337"/>
      <c r="E23" s="337"/>
      <c r="F23" s="337"/>
      <c r="G23" s="337"/>
      <c r="H23" s="337"/>
      <c r="I23" s="337"/>
      <c r="J23" s="337"/>
      <c r="K23" s="337"/>
      <c r="L23" s="337"/>
      <c r="M23" s="337"/>
      <c r="N23" s="337"/>
      <c r="O23" s="337"/>
      <c r="P23" s="337"/>
      <c r="Q23" s="464"/>
      <c r="R23" s="452"/>
      <c r="S23" s="230"/>
      <c r="T23" s="231"/>
      <c r="U23" s="231"/>
      <c r="V23" s="232"/>
      <c r="W23" s="221"/>
      <c r="X23" s="236"/>
      <c r="Y23" s="237"/>
      <c r="Z23" s="237"/>
      <c r="AA23" s="238"/>
      <c r="AB23" s="221"/>
      <c r="AC23" s="236"/>
      <c r="AD23" s="237"/>
      <c r="AE23" s="237"/>
      <c r="AF23" s="238"/>
    </row>
    <row r="24" spans="3:32">
      <c r="C24" s="336"/>
      <c r="D24" s="337"/>
      <c r="E24" s="337"/>
      <c r="F24" s="337"/>
      <c r="G24" s="337"/>
      <c r="H24" s="337"/>
      <c r="I24" s="337"/>
      <c r="J24" s="337"/>
      <c r="K24" s="337"/>
      <c r="L24" s="337"/>
      <c r="M24" s="337"/>
      <c r="N24" s="337"/>
      <c r="O24" s="337"/>
      <c r="P24" s="337"/>
      <c r="Q24" s="464"/>
      <c r="R24" s="452"/>
      <c r="S24" s="271" t="s">
        <v>916</v>
      </c>
      <c r="T24" s="272"/>
      <c r="U24" s="272"/>
      <c r="V24" s="272"/>
      <c r="W24" s="272"/>
      <c r="X24" s="272"/>
      <c r="Y24" s="272"/>
      <c r="Z24" s="272"/>
      <c r="AA24" s="272"/>
      <c r="AB24" s="272"/>
      <c r="AC24" s="272"/>
      <c r="AD24" s="272"/>
      <c r="AE24" s="272"/>
      <c r="AF24" s="273"/>
    </row>
    <row r="25" spans="3:32" ht="15.75" thickBot="1">
      <c r="C25" s="213">
        <v>0</v>
      </c>
      <c r="D25" s="354" t="s">
        <v>880</v>
      </c>
      <c r="E25" s="354"/>
      <c r="F25" s="354"/>
      <c r="G25" s="354"/>
      <c r="H25" s="354"/>
      <c r="I25" s="354"/>
      <c r="J25" s="342"/>
      <c r="K25" s="343"/>
      <c r="L25" s="343"/>
      <c r="M25" s="343"/>
      <c r="N25" s="343"/>
      <c r="O25" s="343"/>
      <c r="P25" s="343"/>
      <c r="Q25" s="465"/>
      <c r="R25" s="453"/>
      <c r="S25" s="274"/>
      <c r="T25" s="275"/>
      <c r="U25" s="275"/>
      <c r="V25" s="275"/>
      <c r="W25" s="275"/>
      <c r="X25" s="275"/>
      <c r="Y25" s="275"/>
      <c r="Z25" s="275"/>
      <c r="AA25" s="275"/>
      <c r="AB25" s="275"/>
      <c r="AC25" s="275"/>
      <c r="AD25" s="275"/>
      <c r="AE25" s="275"/>
      <c r="AF25" s="276"/>
    </row>
    <row r="26" spans="3:32">
      <c r="C26" s="213">
        <v>1</v>
      </c>
      <c r="D26" s="354" t="s">
        <v>881</v>
      </c>
      <c r="E26" s="354"/>
      <c r="F26" s="354"/>
      <c r="G26" s="354"/>
      <c r="H26" s="354"/>
      <c r="I26" s="354"/>
      <c r="J26" s="342"/>
      <c r="K26" s="343"/>
      <c r="L26" s="343"/>
      <c r="M26" s="343"/>
      <c r="N26" s="343"/>
      <c r="O26" s="343"/>
      <c r="P26" s="343"/>
      <c r="Q26" s="465"/>
      <c r="R26" s="453"/>
      <c r="S26" s="230" t="s">
        <v>917</v>
      </c>
      <c r="T26" s="231"/>
      <c r="U26" s="231"/>
      <c r="V26" s="232"/>
      <c r="W26" s="221"/>
      <c r="X26" s="236" t="s">
        <v>920</v>
      </c>
      <c r="Y26" s="237"/>
      <c r="Z26" s="237"/>
      <c r="AA26" s="238"/>
      <c r="AB26" s="221"/>
      <c r="AC26" s="259" t="s">
        <v>923</v>
      </c>
      <c r="AD26" s="220"/>
      <c r="AE26" s="220"/>
      <c r="AF26" s="223"/>
    </row>
    <row r="27" spans="3:32">
      <c r="C27" s="213">
        <v>2</v>
      </c>
      <c r="D27" s="354" t="s">
        <v>882</v>
      </c>
      <c r="E27" s="354"/>
      <c r="F27" s="354"/>
      <c r="G27" s="354"/>
      <c r="H27" s="354"/>
      <c r="I27" s="354"/>
      <c r="J27" s="342"/>
      <c r="K27" s="343"/>
      <c r="L27" s="343"/>
      <c r="M27" s="343"/>
      <c r="N27" s="343"/>
      <c r="O27" s="343"/>
      <c r="P27" s="343"/>
      <c r="Q27" s="465"/>
      <c r="R27" s="453"/>
      <c r="S27" s="230"/>
      <c r="T27" s="231"/>
      <c r="U27" s="231"/>
      <c r="V27" s="232"/>
      <c r="W27" s="221"/>
      <c r="X27" s="236"/>
      <c r="Y27" s="237"/>
      <c r="Z27" s="237"/>
      <c r="AA27" s="238"/>
      <c r="AB27" s="221"/>
      <c r="AC27" s="222"/>
      <c r="AD27" s="220"/>
      <c r="AE27" s="220"/>
      <c r="AF27" s="223"/>
    </row>
    <row r="28" spans="3:32">
      <c r="C28" s="213">
        <v>3</v>
      </c>
      <c r="D28" s="354" t="s">
        <v>883</v>
      </c>
      <c r="E28" s="354"/>
      <c r="F28" s="354"/>
      <c r="G28" s="354"/>
      <c r="H28" s="354"/>
      <c r="I28" s="354"/>
      <c r="J28" s="342"/>
      <c r="K28" s="343"/>
      <c r="L28" s="343"/>
      <c r="M28" s="343"/>
      <c r="N28" s="343"/>
      <c r="O28" s="343"/>
      <c r="P28" s="343"/>
      <c r="Q28" s="465"/>
      <c r="R28" s="453"/>
      <c r="S28" s="230"/>
      <c r="T28" s="231"/>
      <c r="U28" s="231"/>
      <c r="V28" s="232"/>
      <c r="W28" s="221"/>
      <c r="X28" s="236"/>
      <c r="Y28" s="237"/>
      <c r="Z28" s="237"/>
      <c r="AA28" s="238"/>
      <c r="AB28" s="221"/>
      <c r="AC28" s="222"/>
      <c r="AD28" s="220"/>
      <c r="AE28" s="220"/>
      <c r="AF28" s="223"/>
    </row>
    <row r="29" spans="3:32">
      <c r="C29" s="213">
        <v>4</v>
      </c>
      <c r="D29" s="354" t="s">
        <v>884</v>
      </c>
      <c r="E29" s="354"/>
      <c r="F29" s="354"/>
      <c r="G29" s="354"/>
      <c r="H29" s="354"/>
      <c r="I29" s="354"/>
      <c r="J29" s="342"/>
      <c r="K29" s="343"/>
      <c r="L29" s="343"/>
      <c r="M29" s="343"/>
      <c r="N29" s="343"/>
      <c r="O29" s="343"/>
      <c r="P29" s="343"/>
      <c r="Q29" s="465"/>
      <c r="R29" s="453"/>
      <c r="S29" s="230"/>
      <c r="T29" s="231"/>
      <c r="U29" s="231"/>
      <c r="V29" s="232"/>
      <c r="W29" s="221"/>
      <c r="X29" s="236"/>
      <c r="Y29" s="237"/>
      <c r="Z29" s="237"/>
      <c r="AA29" s="238"/>
      <c r="AB29" s="221"/>
      <c r="AC29" s="222"/>
      <c r="AD29" s="220"/>
      <c r="AE29" s="220"/>
      <c r="AF29" s="223"/>
    </row>
    <row r="30" spans="3:32" ht="15.75" thickBot="1">
      <c r="C30" s="213">
        <v>5</v>
      </c>
      <c r="D30" s="354" t="s">
        <v>885</v>
      </c>
      <c r="E30" s="354"/>
      <c r="F30" s="354"/>
      <c r="G30" s="354"/>
      <c r="H30" s="354"/>
      <c r="I30" s="354"/>
      <c r="J30" s="342"/>
      <c r="K30" s="343"/>
      <c r="L30" s="343"/>
      <c r="M30" s="343"/>
      <c r="N30" s="343"/>
      <c r="O30" s="343"/>
      <c r="P30" s="343"/>
      <c r="Q30" s="465"/>
      <c r="R30" s="453"/>
      <c r="S30" s="233"/>
      <c r="T30" s="234"/>
      <c r="U30" s="234"/>
      <c r="V30" s="235"/>
      <c r="W30" s="221"/>
      <c r="X30" s="239"/>
      <c r="Y30" s="240"/>
      <c r="Z30" s="240"/>
      <c r="AA30" s="241"/>
      <c r="AB30" s="221"/>
      <c r="AC30" s="224"/>
      <c r="AD30" s="225"/>
      <c r="AE30" s="225"/>
      <c r="AF30" s="226"/>
    </row>
    <row r="31" spans="3:32" ht="15" customHeight="1">
      <c r="C31" s="336" t="s">
        <v>886</v>
      </c>
      <c r="D31" s="337"/>
      <c r="E31" s="337"/>
      <c r="F31" s="337"/>
      <c r="G31" s="337"/>
      <c r="H31" s="337"/>
      <c r="I31" s="337"/>
      <c r="J31" s="337"/>
      <c r="K31" s="337"/>
      <c r="L31" s="337"/>
      <c r="M31" s="337"/>
      <c r="N31" s="337"/>
      <c r="O31" s="337"/>
      <c r="P31" s="337"/>
      <c r="Q31" s="464"/>
      <c r="R31" s="452"/>
      <c r="S31" s="227" t="s">
        <v>918</v>
      </c>
      <c r="T31" s="228"/>
      <c r="U31" s="228"/>
      <c r="V31" s="229"/>
      <c r="W31" s="221"/>
      <c r="X31" s="248" t="s">
        <v>921</v>
      </c>
      <c r="Y31" s="249"/>
      <c r="Z31" s="249"/>
      <c r="AA31" s="250"/>
      <c r="AB31" s="221"/>
      <c r="AC31" s="256" t="s">
        <v>924</v>
      </c>
      <c r="AD31" s="257"/>
      <c r="AE31" s="257"/>
      <c r="AF31" s="258"/>
    </row>
    <row r="32" spans="3:32">
      <c r="C32" s="336"/>
      <c r="D32" s="337"/>
      <c r="E32" s="337"/>
      <c r="F32" s="337"/>
      <c r="G32" s="337"/>
      <c r="H32" s="337"/>
      <c r="I32" s="337"/>
      <c r="J32" s="337"/>
      <c r="K32" s="337"/>
      <c r="L32" s="337"/>
      <c r="M32" s="337"/>
      <c r="N32" s="337"/>
      <c r="O32" s="337"/>
      <c r="P32" s="337"/>
      <c r="Q32" s="464"/>
      <c r="R32" s="452"/>
      <c r="S32" s="230"/>
      <c r="T32" s="231"/>
      <c r="U32" s="231"/>
      <c r="V32" s="232"/>
      <c r="W32" s="221"/>
      <c r="X32" s="236"/>
      <c r="Y32" s="237"/>
      <c r="Z32" s="237"/>
      <c r="AA32" s="238"/>
      <c r="AB32" s="221"/>
      <c r="AC32" s="259"/>
      <c r="AD32" s="260"/>
      <c r="AE32" s="260"/>
      <c r="AF32" s="261"/>
    </row>
    <row r="33" spans="3:32" ht="15.75" customHeight="1">
      <c r="C33" s="336"/>
      <c r="D33" s="337"/>
      <c r="E33" s="337"/>
      <c r="F33" s="337"/>
      <c r="G33" s="337"/>
      <c r="H33" s="337"/>
      <c r="I33" s="337"/>
      <c r="J33" s="337"/>
      <c r="K33" s="337"/>
      <c r="L33" s="337"/>
      <c r="M33" s="337"/>
      <c r="N33" s="337"/>
      <c r="O33" s="337"/>
      <c r="P33" s="337"/>
      <c r="Q33" s="464"/>
      <c r="R33" s="452"/>
      <c r="S33" s="230"/>
      <c r="T33" s="231"/>
      <c r="U33" s="231"/>
      <c r="V33" s="232"/>
      <c r="W33" s="221"/>
      <c r="X33" s="236"/>
      <c r="Y33" s="237"/>
      <c r="Z33" s="237"/>
      <c r="AA33" s="238"/>
      <c r="AB33" s="221"/>
      <c r="AC33" s="259"/>
      <c r="AD33" s="260"/>
      <c r="AE33" s="260"/>
      <c r="AF33" s="261"/>
    </row>
    <row r="34" spans="3:32">
      <c r="C34" s="344" t="s">
        <v>887</v>
      </c>
      <c r="D34" s="345"/>
      <c r="E34" s="345"/>
      <c r="F34" s="345"/>
      <c r="G34" s="345"/>
      <c r="H34" s="345"/>
      <c r="I34" s="345"/>
      <c r="J34" s="345"/>
      <c r="K34" s="345"/>
      <c r="L34" s="345"/>
      <c r="M34" s="345"/>
      <c r="N34" s="345"/>
      <c r="O34" s="345"/>
      <c r="P34" s="345"/>
      <c r="Q34" s="466"/>
      <c r="R34" s="200"/>
      <c r="S34" s="230"/>
      <c r="T34" s="231"/>
      <c r="U34" s="231"/>
      <c r="V34" s="232"/>
      <c r="W34" s="221"/>
      <c r="X34" s="236"/>
      <c r="Y34" s="237"/>
      <c r="Z34" s="237"/>
      <c r="AA34" s="238"/>
      <c r="AB34" s="221"/>
      <c r="AC34" s="259"/>
      <c r="AD34" s="260"/>
      <c r="AE34" s="260"/>
      <c r="AF34" s="261"/>
    </row>
    <row r="35" spans="3:32" ht="15" customHeight="1" thickBot="1">
      <c r="C35" s="320" t="s">
        <v>888</v>
      </c>
      <c r="D35" s="321"/>
      <c r="E35" s="321"/>
      <c r="F35" s="321"/>
      <c r="G35" s="321"/>
      <c r="H35" s="321"/>
      <c r="I35" s="321"/>
      <c r="J35" s="321"/>
      <c r="K35" s="321"/>
      <c r="L35" s="321"/>
      <c r="M35" s="321"/>
      <c r="N35" s="321"/>
      <c r="O35" s="321"/>
      <c r="P35" s="321"/>
      <c r="Q35" s="322"/>
      <c r="R35" s="454"/>
      <c r="S35" s="233"/>
      <c r="T35" s="234"/>
      <c r="U35" s="234"/>
      <c r="V35" s="235"/>
      <c r="W35" s="221"/>
      <c r="X35" s="239"/>
      <c r="Y35" s="240"/>
      <c r="Z35" s="240"/>
      <c r="AA35" s="241"/>
      <c r="AB35" s="221"/>
      <c r="AC35" s="268"/>
      <c r="AD35" s="269"/>
      <c r="AE35" s="269"/>
      <c r="AF35" s="270"/>
    </row>
    <row r="36" spans="3:32">
      <c r="C36" s="320"/>
      <c r="D36" s="321"/>
      <c r="E36" s="321"/>
      <c r="F36" s="321"/>
      <c r="G36" s="321"/>
      <c r="H36" s="321"/>
      <c r="I36" s="321"/>
      <c r="J36" s="321"/>
      <c r="K36" s="321"/>
      <c r="L36" s="321"/>
      <c r="M36" s="321"/>
      <c r="N36" s="321"/>
      <c r="O36" s="321"/>
      <c r="P36" s="321"/>
      <c r="Q36" s="322"/>
      <c r="R36" s="454"/>
      <c r="S36" s="227" t="s">
        <v>919</v>
      </c>
      <c r="T36" s="251"/>
      <c r="U36" s="251"/>
      <c r="V36" s="252"/>
      <c r="W36" s="221"/>
      <c r="X36" s="248" t="s">
        <v>922</v>
      </c>
      <c r="Y36" s="249"/>
      <c r="Z36" s="249"/>
      <c r="AA36" s="250"/>
      <c r="AB36" s="221"/>
      <c r="AC36" s="256" t="s">
        <v>925</v>
      </c>
      <c r="AD36" s="257"/>
      <c r="AE36" s="257"/>
      <c r="AF36" s="258"/>
    </row>
    <row r="37" spans="3:32">
      <c r="C37" s="346" t="s">
        <v>719</v>
      </c>
      <c r="D37" s="347"/>
      <c r="E37" s="347"/>
      <c r="F37" s="347" t="s">
        <v>735</v>
      </c>
      <c r="G37" s="347"/>
      <c r="H37" s="347"/>
      <c r="I37" s="347" t="s">
        <v>736</v>
      </c>
      <c r="J37" s="347"/>
      <c r="K37" s="347"/>
      <c r="L37" s="347" t="s">
        <v>889</v>
      </c>
      <c r="M37" s="347"/>
      <c r="N37" s="347"/>
      <c r="O37" s="347" t="s">
        <v>720</v>
      </c>
      <c r="P37" s="347"/>
      <c r="Q37" s="467"/>
      <c r="R37" s="455"/>
      <c r="S37" s="253"/>
      <c r="T37" s="254"/>
      <c r="U37" s="254"/>
      <c r="V37" s="255"/>
      <c r="W37" s="221"/>
      <c r="X37" s="236"/>
      <c r="Y37" s="237"/>
      <c r="Z37" s="237"/>
      <c r="AA37" s="238"/>
      <c r="AB37" s="221"/>
      <c r="AC37" s="259"/>
      <c r="AD37" s="260"/>
      <c r="AE37" s="260"/>
      <c r="AF37" s="261"/>
    </row>
    <row r="38" spans="3:32">
      <c r="C38" s="340" t="s">
        <v>863</v>
      </c>
      <c r="D38" s="341"/>
      <c r="E38" s="341"/>
      <c r="F38" s="341" t="s">
        <v>721</v>
      </c>
      <c r="G38" s="341"/>
      <c r="H38" s="341"/>
      <c r="I38" s="341" t="s">
        <v>722</v>
      </c>
      <c r="J38" s="341"/>
      <c r="K38" s="341"/>
      <c r="L38" s="341" t="s">
        <v>864</v>
      </c>
      <c r="M38" s="341"/>
      <c r="N38" s="341"/>
      <c r="O38" s="341" t="s">
        <v>723</v>
      </c>
      <c r="P38" s="341"/>
      <c r="Q38" s="468"/>
      <c r="R38" s="445"/>
      <c r="S38" s="253"/>
      <c r="T38" s="254"/>
      <c r="U38" s="254"/>
      <c r="V38" s="255"/>
      <c r="W38" s="221"/>
      <c r="X38" s="236"/>
      <c r="Y38" s="237"/>
      <c r="Z38" s="237"/>
      <c r="AA38" s="238"/>
      <c r="AB38" s="221"/>
      <c r="AC38" s="259"/>
      <c r="AD38" s="260"/>
      <c r="AE38" s="260"/>
      <c r="AF38" s="261"/>
    </row>
    <row r="39" spans="3:32" ht="15" customHeight="1">
      <c r="C39" s="334" t="s">
        <v>891</v>
      </c>
      <c r="D39" s="335"/>
      <c r="E39" s="335"/>
      <c r="F39" s="335"/>
      <c r="G39" s="335"/>
      <c r="H39" s="335"/>
      <c r="I39" s="335"/>
      <c r="J39" s="335"/>
      <c r="K39" s="335"/>
      <c r="L39" s="335"/>
      <c r="M39" s="335"/>
      <c r="N39" s="335"/>
      <c r="O39" s="335"/>
      <c r="P39" s="335"/>
      <c r="Q39" s="469"/>
      <c r="R39" s="452"/>
      <c r="S39" s="253"/>
      <c r="T39" s="254"/>
      <c r="U39" s="254"/>
      <c r="V39" s="255"/>
      <c r="W39" s="221"/>
      <c r="X39" s="236"/>
      <c r="Y39" s="237"/>
      <c r="Z39" s="237"/>
      <c r="AA39" s="238"/>
      <c r="AB39" s="221"/>
      <c r="AC39" s="259"/>
      <c r="AD39" s="260"/>
      <c r="AE39" s="260"/>
      <c r="AF39" s="261"/>
    </row>
    <row r="40" spans="3:32" ht="15.75" thickBot="1">
      <c r="C40" s="336"/>
      <c r="D40" s="337"/>
      <c r="E40" s="337"/>
      <c r="F40" s="337"/>
      <c r="G40" s="337"/>
      <c r="H40" s="337"/>
      <c r="I40" s="337"/>
      <c r="J40" s="337"/>
      <c r="K40" s="337"/>
      <c r="L40" s="337"/>
      <c r="M40" s="337"/>
      <c r="N40" s="337"/>
      <c r="O40" s="337"/>
      <c r="P40" s="337"/>
      <c r="Q40" s="464"/>
      <c r="R40" s="452"/>
      <c r="S40" s="253"/>
      <c r="T40" s="254"/>
      <c r="U40" s="254"/>
      <c r="V40" s="255"/>
      <c r="W40" s="221"/>
      <c r="X40" s="236"/>
      <c r="Y40" s="237"/>
      <c r="Z40" s="237"/>
      <c r="AA40" s="238"/>
      <c r="AB40" s="221"/>
      <c r="AC40" s="259"/>
      <c r="AD40" s="260"/>
      <c r="AE40" s="260"/>
      <c r="AF40" s="261"/>
    </row>
    <row r="41" spans="3:32">
      <c r="C41" s="336"/>
      <c r="D41" s="337"/>
      <c r="E41" s="337"/>
      <c r="F41" s="337"/>
      <c r="G41" s="337"/>
      <c r="H41" s="337"/>
      <c r="I41" s="337"/>
      <c r="J41" s="337"/>
      <c r="K41" s="337"/>
      <c r="L41" s="337"/>
      <c r="M41" s="337"/>
      <c r="N41" s="337"/>
      <c r="O41" s="337"/>
      <c r="P41" s="337"/>
      <c r="Q41" s="464"/>
      <c r="R41" s="452"/>
      <c r="S41" s="262" t="s">
        <v>926</v>
      </c>
      <c r="T41" s="263"/>
      <c r="U41" s="263"/>
      <c r="V41" s="263"/>
      <c r="W41" s="263"/>
      <c r="X41" s="263"/>
      <c r="Y41" s="263"/>
      <c r="Z41" s="263"/>
      <c r="AA41" s="263"/>
      <c r="AB41" s="263"/>
      <c r="AC41" s="263"/>
      <c r="AD41" s="263"/>
      <c r="AE41" s="263"/>
      <c r="AF41" s="264"/>
    </row>
    <row r="42" spans="3:32" ht="15.75" thickBot="1">
      <c r="C42" s="336"/>
      <c r="D42" s="337"/>
      <c r="E42" s="337"/>
      <c r="F42" s="337"/>
      <c r="G42" s="337"/>
      <c r="H42" s="337"/>
      <c r="I42" s="337"/>
      <c r="J42" s="337"/>
      <c r="K42" s="337"/>
      <c r="L42" s="337"/>
      <c r="M42" s="337"/>
      <c r="N42" s="337"/>
      <c r="O42" s="337"/>
      <c r="P42" s="337"/>
      <c r="Q42" s="464"/>
      <c r="R42" s="452"/>
      <c r="S42" s="265"/>
      <c r="T42" s="266"/>
      <c r="U42" s="266"/>
      <c r="V42" s="266"/>
      <c r="W42" s="266"/>
      <c r="X42" s="266"/>
      <c r="Y42" s="266"/>
      <c r="Z42" s="266"/>
      <c r="AA42" s="266"/>
      <c r="AB42" s="266"/>
      <c r="AC42" s="266"/>
      <c r="AD42" s="266"/>
      <c r="AE42" s="266"/>
      <c r="AF42" s="267"/>
    </row>
    <row r="43" spans="3:32" ht="15" customHeight="1">
      <c r="C43" s="336"/>
      <c r="D43" s="337"/>
      <c r="E43" s="337"/>
      <c r="F43" s="337"/>
      <c r="G43" s="337"/>
      <c r="H43" s="337"/>
      <c r="I43" s="337"/>
      <c r="J43" s="337"/>
      <c r="K43" s="337"/>
      <c r="L43" s="337"/>
      <c r="M43" s="337"/>
      <c r="N43" s="337"/>
      <c r="O43" s="337"/>
      <c r="P43" s="337"/>
      <c r="Q43" s="464"/>
      <c r="R43" s="452"/>
      <c r="S43" s="230" t="s">
        <v>927</v>
      </c>
      <c r="T43" s="231"/>
      <c r="U43" s="231"/>
      <c r="V43" s="232"/>
      <c r="W43" s="220"/>
      <c r="X43" s="236" t="s">
        <v>929</v>
      </c>
      <c r="Y43" s="237"/>
      <c r="Z43" s="237"/>
      <c r="AA43" s="238"/>
      <c r="AB43" s="220"/>
      <c r="AC43" s="236" t="s">
        <v>931</v>
      </c>
      <c r="AD43" s="242"/>
      <c r="AE43" s="242"/>
      <c r="AF43" s="243"/>
    </row>
    <row r="44" spans="3:32" ht="15" customHeight="1">
      <c r="C44" s="336"/>
      <c r="D44" s="337"/>
      <c r="E44" s="337"/>
      <c r="F44" s="337"/>
      <c r="G44" s="337"/>
      <c r="H44" s="337"/>
      <c r="I44" s="337"/>
      <c r="J44" s="337"/>
      <c r="K44" s="337"/>
      <c r="L44" s="337"/>
      <c r="M44" s="337"/>
      <c r="N44" s="337"/>
      <c r="O44" s="337"/>
      <c r="P44" s="337"/>
      <c r="Q44" s="464"/>
      <c r="R44" s="452"/>
      <c r="S44" s="230"/>
      <c r="T44" s="231"/>
      <c r="U44" s="231"/>
      <c r="V44" s="232"/>
      <c r="W44" s="220"/>
      <c r="X44" s="236"/>
      <c r="Y44" s="237"/>
      <c r="Z44" s="237"/>
      <c r="AA44" s="238"/>
      <c r="AB44" s="220"/>
      <c r="AC44" s="244"/>
      <c r="AD44" s="242"/>
      <c r="AE44" s="242"/>
      <c r="AF44" s="243"/>
    </row>
    <row r="45" spans="3:32" ht="15" customHeight="1">
      <c r="C45" s="277" t="s">
        <v>892</v>
      </c>
      <c r="D45" s="278"/>
      <c r="E45" s="278"/>
      <c r="F45" s="278"/>
      <c r="G45" s="278"/>
      <c r="H45" s="278"/>
      <c r="I45" s="278"/>
      <c r="J45" s="278"/>
      <c r="K45" s="278"/>
      <c r="L45" s="278"/>
      <c r="M45" s="278"/>
      <c r="N45" s="278"/>
      <c r="O45" s="278"/>
      <c r="P45" s="278"/>
      <c r="Q45" s="461"/>
      <c r="R45" s="200"/>
      <c r="S45" s="230"/>
      <c r="T45" s="231"/>
      <c r="U45" s="231"/>
      <c r="V45" s="232"/>
      <c r="W45" s="220"/>
      <c r="X45" s="236"/>
      <c r="Y45" s="237"/>
      <c r="Z45" s="237"/>
      <c r="AA45" s="238"/>
      <c r="AB45" s="220"/>
      <c r="AC45" s="244"/>
      <c r="AD45" s="242"/>
      <c r="AE45" s="242"/>
      <c r="AF45" s="243"/>
    </row>
    <row r="46" spans="3:32" ht="15" customHeight="1">
      <c r="C46" s="336" t="s">
        <v>893</v>
      </c>
      <c r="D46" s="338"/>
      <c r="E46" s="338"/>
      <c r="F46" s="338"/>
      <c r="G46" s="338"/>
      <c r="H46" s="338"/>
      <c r="I46" s="338"/>
      <c r="J46" s="338"/>
      <c r="K46" s="338"/>
      <c r="L46" s="338"/>
      <c r="M46" s="338"/>
      <c r="N46" s="338"/>
      <c r="O46" s="338"/>
      <c r="P46" s="338"/>
      <c r="Q46" s="470"/>
      <c r="R46" s="456"/>
      <c r="S46" s="230"/>
      <c r="T46" s="231"/>
      <c r="U46" s="231"/>
      <c r="V46" s="232"/>
      <c r="W46" s="220"/>
      <c r="X46" s="236"/>
      <c r="Y46" s="237"/>
      <c r="Z46" s="237"/>
      <c r="AA46" s="238"/>
      <c r="AB46" s="220"/>
      <c r="AC46" s="244"/>
      <c r="AD46" s="242"/>
      <c r="AE46" s="242"/>
      <c r="AF46" s="243"/>
    </row>
    <row r="47" spans="3:32" ht="15.75" customHeight="1" thickBot="1">
      <c r="C47" s="339"/>
      <c r="D47" s="338"/>
      <c r="E47" s="338"/>
      <c r="F47" s="338"/>
      <c r="G47" s="338"/>
      <c r="H47" s="338"/>
      <c r="I47" s="338"/>
      <c r="J47" s="338"/>
      <c r="K47" s="338"/>
      <c r="L47" s="338"/>
      <c r="M47" s="338"/>
      <c r="N47" s="338"/>
      <c r="O47" s="338"/>
      <c r="P47" s="338"/>
      <c r="Q47" s="470"/>
      <c r="R47" s="456"/>
      <c r="S47" s="233"/>
      <c r="T47" s="234"/>
      <c r="U47" s="234"/>
      <c r="V47" s="235"/>
      <c r="W47" s="220"/>
      <c r="X47" s="239"/>
      <c r="Y47" s="240"/>
      <c r="Z47" s="240"/>
      <c r="AA47" s="241"/>
      <c r="AB47" s="220"/>
      <c r="AC47" s="245"/>
      <c r="AD47" s="246"/>
      <c r="AE47" s="246"/>
      <c r="AF47" s="247"/>
    </row>
    <row r="48" spans="3:32" ht="15" customHeight="1">
      <c r="C48" s="339"/>
      <c r="D48" s="338"/>
      <c r="E48" s="338"/>
      <c r="F48" s="338"/>
      <c r="G48" s="338"/>
      <c r="H48" s="338"/>
      <c r="I48" s="338"/>
      <c r="J48" s="338"/>
      <c r="K48" s="338"/>
      <c r="L48" s="338"/>
      <c r="M48" s="338"/>
      <c r="N48" s="338"/>
      <c r="O48" s="338"/>
      <c r="P48" s="338"/>
      <c r="Q48" s="470"/>
      <c r="R48" s="456"/>
      <c r="S48" s="227" t="s">
        <v>928</v>
      </c>
      <c r="T48" s="228"/>
      <c r="U48" s="228"/>
      <c r="V48" s="229"/>
      <c r="W48" s="220"/>
      <c r="X48" s="248" t="s">
        <v>930</v>
      </c>
      <c r="Y48" s="249"/>
      <c r="Z48" s="249"/>
      <c r="AA48" s="250"/>
      <c r="AB48" s="220"/>
      <c r="AC48" s="248" t="s">
        <v>931</v>
      </c>
      <c r="AD48" s="249"/>
      <c r="AE48" s="249"/>
      <c r="AF48" s="250"/>
    </row>
    <row r="49" spans="3:32" ht="15" customHeight="1">
      <c r="C49" s="339"/>
      <c r="D49" s="338"/>
      <c r="E49" s="338"/>
      <c r="F49" s="338"/>
      <c r="G49" s="338"/>
      <c r="H49" s="338"/>
      <c r="I49" s="338"/>
      <c r="J49" s="338"/>
      <c r="K49" s="338"/>
      <c r="L49" s="338"/>
      <c r="M49" s="338"/>
      <c r="N49" s="338"/>
      <c r="O49" s="338"/>
      <c r="P49" s="338"/>
      <c r="Q49" s="470"/>
      <c r="R49" s="456"/>
      <c r="S49" s="230"/>
      <c r="T49" s="231"/>
      <c r="U49" s="231"/>
      <c r="V49" s="232"/>
      <c r="W49" s="220"/>
      <c r="X49" s="236"/>
      <c r="Y49" s="237"/>
      <c r="Z49" s="237"/>
      <c r="AA49" s="238"/>
      <c r="AB49" s="220"/>
      <c r="AC49" s="236"/>
      <c r="AD49" s="237"/>
      <c r="AE49" s="237"/>
      <c r="AF49" s="238"/>
    </row>
    <row r="50" spans="3:32" ht="15" customHeight="1">
      <c r="C50" s="339"/>
      <c r="D50" s="338"/>
      <c r="E50" s="338"/>
      <c r="F50" s="338"/>
      <c r="G50" s="338"/>
      <c r="H50" s="338"/>
      <c r="I50" s="338"/>
      <c r="J50" s="338"/>
      <c r="K50" s="338"/>
      <c r="L50" s="338"/>
      <c r="M50" s="338"/>
      <c r="N50" s="338"/>
      <c r="O50" s="338"/>
      <c r="P50" s="338"/>
      <c r="Q50" s="470"/>
      <c r="R50" s="456"/>
      <c r="S50" s="230"/>
      <c r="T50" s="231"/>
      <c r="U50" s="231"/>
      <c r="V50" s="232"/>
      <c r="W50" s="220"/>
      <c r="X50" s="236"/>
      <c r="Y50" s="237"/>
      <c r="Z50" s="237"/>
      <c r="AA50" s="238"/>
      <c r="AB50" s="220"/>
      <c r="AC50" s="236"/>
      <c r="AD50" s="237"/>
      <c r="AE50" s="237"/>
      <c r="AF50" s="238"/>
    </row>
    <row r="51" spans="3:32" ht="15" customHeight="1">
      <c r="C51" s="339"/>
      <c r="D51" s="338"/>
      <c r="E51" s="338"/>
      <c r="F51" s="338"/>
      <c r="G51" s="338"/>
      <c r="H51" s="338"/>
      <c r="I51" s="338"/>
      <c r="J51" s="338"/>
      <c r="K51" s="338"/>
      <c r="L51" s="338"/>
      <c r="M51" s="338"/>
      <c r="N51" s="338"/>
      <c r="O51" s="338"/>
      <c r="P51" s="338"/>
      <c r="Q51" s="470"/>
      <c r="R51" s="456"/>
      <c r="S51" s="230"/>
      <c r="T51" s="231"/>
      <c r="U51" s="231"/>
      <c r="V51" s="232"/>
      <c r="W51" s="220"/>
      <c r="X51" s="236"/>
      <c r="Y51" s="237"/>
      <c r="Z51" s="237"/>
      <c r="AA51" s="238"/>
      <c r="AB51" s="220"/>
      <c r="AC51" s="236"/>
      <c r="AD51" s="237"/>
      <c r="AE51" s="237"/>
      <c r="AF51" s="238"/>
    </row>
    <row r="52" spans="3:32" ht="15.75" customHeight="1" thickBot="1">
      <c r="C52" s="339"/>
      <c r="D52" s="338"/>
      <c r="E52" s="338"/>
      <c r="F52" s="338"/>
      <c r="G52" s="338"/>
      <c r="H52" s="338"/>
      <c r="I52" s="338"/>
      <c r="J52" s="338"/>
      <c r="K52" s="338"/>
      <c r="L52" s="338"/>
      <c r="M52" s="338"/>
      <c r="N52" s="338"/>
      <c r="O52" s="338"/>
      <c r="P52" s="338"/>
      <c r="Q52" s="470"/>
      <c r="R52" s="456"/>
      <c r="S52" s="233"/>
      <c r="T52" s="234"/>
      <c r="U52" s="234"/>
      <c r="V52" s="235"/>
      <c r="W52" s="220"/>
      <c r="X52" s="239"/>
      <c r="Y52" s="240"/>
      <c r="Z52" s="240"/>
      <c r="AA52" s="241"/>
      <c r="AB52" s="220"/>
      <c r="AC52" s="239"/>
      <c r="AD52" s="240"/>
      <c r="AE52" s="240"/>
      <c r="AF52" s="241"/>
    </row>
    <row r="53" spans="3:32">
      <c r="C53" s="339"/>
      <c r="D53" s="338"/>
      <c r="E53" s="338"/>
      <c r="F53" s="338"/>
      <c r="G53" s="338"/>
      <c r="H53" s="338"/>
      <c r="I53" s="338"/>
      <c r="J53" s="338"/>
      <c r="K53" s="338"/>
      <c r="L53" s="338"/>
      <c r="M53" s="338"/>
      <c r="N53" s="338"/>
      <c r="O53" s="338"/>
      <c r="P53" s="338"/>
      <c r="Q53" s="470"/>
      <c r="R53" s="456"/>
      <c r="S53" s="222"/>
      <c r="T53" s="220"/>
      <c r="U53" s="220"/>
      <c r="V53" s="220"/>
      <c r="W53" s="220"/>
      <c r="X53" s="220"/>
      <c r="Y53" s="220"/>
      <c r="Z53" s="220"/>
      <c r="AA53" s="220"/>
      <c r="AB53" s="220"/>
      <c r="AC53" s="220"/>
      <c r="AD53" s="220"/>
      <c r="AE53" s="220"/>
      <c r="AF53" s="223"/>
    </row>
    <row r="54" spans="3:32">
      <c r="C54" s="339"/>
      <c r="D54" s="338"/>
      <c r="E54" s="338"/>
      <c r="F54" s="338"/>
      <c r="G54" s="338"/>
      <c r="H54" s="338"/>
      <c r="I54" s="338"/>
      <c r="J54" s="338"/>
      <c r="K54" s="338"/>
      <c r="L54" s="338"/>
      <c r="M54" s="338"/>
      <c r="N54" s="338"/>
      <c r="O54" s="338"/>
      <c r="P54" s="338"/>
      <c r="Q54" s="470"/>
      <c r="R54" s="456"/>
      <c r="S54" s="222"/>
      <c r="T54" s="220"/>
      <c r="U54" s="220"/>
      <c r="V54" s="220"/>
      <c r="W54" s="220"/>
      <c r="X54" s="220"/>
      <c r="Y54" s="220"/>
      <c r="Z54" s="220"/>
      <c r="AA54" s="220"/>
      <c r="AB54" s="220"/>
      <c r="AC54" s="220"/>
      <c r="AD54" s="220"/>
      <c r="AE54" s="220"/>
      <c r="AF54" s="223"/>
    </row>
    <row r="55" spans="3:32">
      <c r="C55" s="339"/>
      <c r="D55" s="338"/>
      <c r="E55" s="338"/>
      <c r="F55" s="338"/>
      <c r="G55" s="338"/>
      <c r="H55" s="338"/>
      <c r="I55" s="338"/>
      <c r="J55" s="338"/>
      <c r="K55" s="338"/>
      <c r="L55" s="338"/>
      <c r="M55" s="338"/>
      <c r="N55" s="338"/>
      <c r="O55" s="338"/>
      <c r="P55" s="338"/>
      <c r="Q55" s="470"/>
      <c r="R55" s="456"/>
      <c r="S55" s="222"/>
      <c r="T55" s="220"/>
      <c r="U55" s="220"/>
      <c r="V55" s="220"/>
      <c r="W55" s="220"/>
      <c r="X55" s="220"/>
      <c r="Y55" s="220"/>
      <c r="Z55" s="220"/>
      <c r="AA55" s="220"/>
      <c r="AB55" s="220"/>
      <c r="AC55" s="220"/>
      <c r="AD55" s="220"/>
      <c r="AE55" s="220"/>
      <c r="AF55" s="223"/>
    </row>
    <row r="56" spans="3:32" ht="15" customHeight="1">
      <c r="C56" s="339"/>
      <c r="D56" s="338"/>
      <c r="E56" s="338"/>
      <c r="F56" s="338"/>
      <c r="G56" s="338"/>
      <c r="H56" s="338"/>
      <c r="I56" s="338"/>
      <c r="J56" s="338"/>
      <c r="K56" s="338"/>
      <c r="L56" s="338"/>
      <c r="M56" s="338"/>
      <c r="N56" s="338"/>
      <c r="O56" s="338"/>
      <c r="P56" s="338"/>
      <c r="Q56" s="470"/>
      <c r="R56" s="456"/>
      <c r="S56" s="222"/>
      <c r="T56" s="220"/>
      <c r="U56" s="220"/>
      <c r="V56" s="220"/>
      <c r="W56" s="220"/>
      <c r="X56" s="220"/>
      <c r="Y56" s="220"/>
      <c r="Z56" s="220"/>
      <c r="AA56" s="220"/>
      <c r="AB56" s="220"/>
      <c r="AC56" s="220"/>
      <c r="AD56" s="220"/>
      <c r="AE56" s="220"/>
      <c r="AF56" s="223"/>
    </row>
    <row r="57" spans="3:32">
      <c r="C57" s="339"/>
      <c r="D57" s="338"/>
      <c r="E57" s="338"/>
      <c r="F57" s="338"/>
      <c r="G57" s="338"/>
      <c r="H57" s="338"/>
      <c r="I57" s="338"/>
      <c r="J57" s="338"/>
      <c r="K57" s="338"/>
      <c r="L57" s="338"/>
      <c r="M57" s="338"/>
      <c r="N57" s="338"/>
      <c r="O57" s="338"/>
      <c r="P57" s="338"/>
      <c r="Q57" s="470"/>
      <c r="R57" s="456"/>
      <c r="S57" s="222"/>
      <c r="T57" s="220"/>
      <c r="U57" s="220"/>
      <c r="V57" s="220"/>
      <c r="W57" s="220"/>
      <c r="X57" s="220"/>
      <c r="Y57" s="220"/>
      <c r="Z57" s="220"/>
      <c r="AA57" s="220"/>
      <c r="AB57" s="220"/>
      <c r="AC57" s="220"/>
      <c r="AD57" s="220"/>
      <c r="AE57" s="220"/>
      <c r="AF57" s="223"/>
    </row>
    <row r="58" spans="3:32">
      <c r="C58" s="277" t="s">
        <v>894</v>
      </c>
      <c r="D58" s="278"/>
      <c r="E58" s="278"/>
      <c r="F58" s="278"/>
      <c r="G58" s="278"/>
      <c r="H58" s="278"/>
      <c r="I58" s="278"/>
      <c r="J58" s="278"/>
      <c r="K58" s="278"/>
      <c r="L58" s="278"/>
      <c r="M58" s="278"/>
      <c r="N58" s="278"/>
      <c r="O58" s="278"/>
      <c r="P58" s="278"/>
      <c r="Q58" s="461"/>
      <c r="R58" s="200"/>
      <c r="S58" s="222"/>
      <c r="T58" s="220"/>
      <c r="U58" s="220"/>
      <c r="V58" s="220"/>
      <c r="W58" s="220"/>
      <c r="X58" s="220"/>
      <c r="Y58" s="220"/>
      <c r="Z58" s="220"/>
      <c r="AA58" s="220"/>
      <c r="AB58" s="220"/>
      <c r="AC58" s="220"/>
      <c r="AD58" s="220"/>
      <c r="AE58" s="220"/>
      <c r="AF58" s="223"/>
    </row>
    <row r="59" spans="3:32">
      <c r="C59" s="259" t="s">
        <v>895</v>
      </c>
      <c r="D59" s="220"/>
      <c r="E59" s="220"/>
      <c r="F59" s="220"/>
      <c r="G59" s="220"/>
      <c r="H59" s="220"/>
      <c r="I59" s="220"/>
      <c r="J59" s="220"/>
      <c r="K59" s="220"/>
      <c r="L59" s="220"/>
      <c r="M59" s="220"/>
      <c r="N59" s="220"/>
      <c r="O59" s="220"/>
      <c r="P59" s="220"/>
      <c r="Q59" s="223"/>
      <c r="R59" s="449"/>
      <c r="S59" s="222"/>
      <c r="T59" s="220"/>
      <c r="U59" s="220"/>
      <c r="V59" s="220"/>
      <c r="W59" s="220"/>
      <c r="X59" s="220"/>
      <c r="Y59" s="220"/>
      <c r="Z59" s="220"/>
      <c r="AA59" s="220"/>
      <c r="AB59" s="220"/>
      <c r="AC59" s="220"/>
      <c r="AD59" s="220"/>
      <c r="AE59" s="220"/>
      <c r="AF59" s="223"/>
    </row>
    <row r="60" spans="3:32" ht="15.75" thickBot="1">
      <c r="C60" s="222"/>
      <c r="D60" s="220"/>
      <c r="E60" s="220"/>
      <c r="F60" s="220"/>
      <c r="G60" s="220"/>
      <c r="H60" s="220"/>
      <c r="I60" s="220"/>
      <c r="J60" s="220"/>
      <c r="K60" s="220"/>
      <c r="L60" s="220"/>
      <c r="M60" s="220"/>
      <c r="N60" s="220"/>
      <c r="O60" s="220"/>
      <c r="P60" s="220"/>
      <c r="Q60" s="223"/>
      <c r="R60" s="449"/>
      <c r="S60" s="222"/>
      <c r="T60" s="220"/>
      <c r="U60" s="220"/>
      <c r="V60" s="220"/>
      <c r="W60" s="220"/>
      <c r="X60" s="220"/>
      <c r="Y60" s="220"/>
      <c r="Z60" s="220"/>
      <c r="AA60" s="220"/>
      <c r="AB60" s="220"/>
      <c r="AC60" s="220"/>
      <c r="AD60" s="220"/>
      <c r="AE60" s="220"/>
      <c r="AF60" s="223"/>
    </row>
    <row r="61" spans="3:32">
      <c r="C61" s="308" t="s">
        <v>896</v>
      </c>
      <c r="D61" s="309"/>
      <c r="E61" s="310"/>
      <c r="F61" s="214"/>
      <c r="G61" s="317" t="s">
        <v>897</v>
      </c>
      <c r="H61" s="318"/>
      <c r="I61" s="319"/>
      <c r="J61" s="214"/>
      <c r="K61" s="317" t="s">
        <v>898</v>
      </c>
      <c r="L61" s="326"/>
      <c r="M61" s="327"/>
      <c r="N61" s="214"/>
      <c r="O61" s="317" t="s">
        <v>899</v>
      </c>
      <c r="P61" s="318"/>
      <c r="Q61" s="319"/>
      <c r="R61" s="454"/>
      <c r="S61" s="222"/>
      <c r="T61" s="220"/>
      <c r="U61" s="220"/>
      <c r="V61" s="220"/>
      <c r="W61" s="220"/>
      <c r="X61" s="220"/>
      <c r="Y61" s="220"/>
      <c r="Z61" s="220"/>
      <c r="AA61" s="220"/>
      <c r="AB61" s="220"/>
      <c r="AC61" s="220"/>
      <c r="AD61" s="220"/>
      <c r="AE61" s="220"/>
      <c r="AF61" s="223"/>
    </row>
    <row r="62" spans="3:32">
      <c r="C62" s="311"/>
      <c r="D62" s="312"/>
      <c r="E62" s="313"/>
      <c r="F62" s="214"/>
      <c r="G62" s="320"/>
      <c r="H62" s="321"/>
      <c r="I62" s="322"/>
      <c r="J62" s="214"/>
      <c r="K62" s="328"/>
      <c r="L62" s="329"/>
      <c r="M62" s="330"/>
      <c r="N62" s="214"/>
      <c r="O62" s="320"/>
      <c r="P62" s="321"/>
      <c r="Q62" s="322"/>
      <c r="R62" s="454"/>
      <c r="S62" s="222"/>
      <c r="T62" s="220"/>
      <c r="U62" s="220"/>
      <c r="V62" s="220"/>
      <c r="W62" s="220"/>
      <c r="X62" s="220"/>
      <c r="Y62" s="220"/>
      <c r="Z62" s="220"/>
      <c r="AA62" s="220"/>
      <c r="AB62" s="220"/>
      <c r="AC62" s="220"/>
      <c r="AD62" s="220"/>
      <c r="AE62" s="220"/>
      <c r="AF62" s="223"/>
    </row>
    <row r="63" spans="3:32" ht="15.75" thickBot="1">
      <c r="C63" s="314"/>
      <c r="D63" s="315"/>
      <c r="E63" s="316"/>
      <c r="F63" s="214"/>
      <c r="G63" s="323"/>
      <c r="H63" s="324"/>
      <c r="I63" s="325"/>
      <c r="J63" s="214"/>
      <c r="K63" s="331"/>
      <c r="L63" s="332"/>
      <c r="M63" s="333"/>
      <c r="N63" s="214"/>
      <c r="O63" s="323"/>
      <c r="P63" s="324"/>
      <c r="Q63" s="325"/>
      <c r="R63" s="454"/>
      <c r="S63" s="222"/>
      <c r="T63" s="220"/>
      <c r="U63" s="220"/>
      <c r="V63" s="220"/>
      <c r="W63" s="220"/>
      <c r="X63" s="220"/>
      <c r="Y63" s="220"/>
      <c r="Z63" s="220"/>
      <c r="AA63" s="220"/>
      <c r="AB63" s="220"/>
      <c r="AC63" s="220"/>
      <c r="AD63" s="220"/>
      <c r="AE63" s="220"/>
      <c r="AF63" s="223"/>
    </row>
    <row r="64" spans="3:32">
      <c r="C64" s="277" t="s">
        <v>900</v>
      </c>
      <c r="D64" s="278"/>
      <c r="E64" s="278"/>
      <c r="F64" s="278"/>
      <c r="G64" s="278"/>
      <c r="H64" s="278"/>
      <c r="I64" s="278"/>
      <c r="J64" s="278"/>
      <c r="K64" s="278"/>
      <c r="L64" s="278"/>
      <c r="M64" s="278"/>
      <c r="N64" s="278"/>
      <c r="O64" s="278"/>
      <c r="P64" s="278"/>
      <c r="Q64" s="461"/>
      <c r="R64" s="200"/>
      <c r="S64" s="222"/>
      <c r="T64" s="220"/>
      <c r="U64" s="220"/>
      <c r="V64" s="220"/>
      <c r="W64" s="220"/>
      <c r="X64" s="220"/>
      <c r="Y64" s="220"/>
      <c r="Z64" s="220"/>
      <c r="AA64" s="220"/>
      <c r="AB64" s="220"/>
      <c r="AC64" s="220"/>
      <c r="AD64" s="220"/>
      <c r="AE64" s="220"/>
      <c r="AF64" s="223"/>
    </row>
    <row r="65" spans="3:32">
      <c r="C65" s="279" t="s">
        <v>901</v>
      </c>
      <c r="D65" s="280"/>
      <c r="E65" s="280"/>
      <c r="F65" s="280"/>
      <c r="G65" s="280"/>
      <c r="H65" s="280"/>
      <c r="I65" s="280"/>
      <c r="J65" s="280"/>
      <c r="K65" s="280"/>
      <c r="L65" s="280"/>
      <c r="M65" s="280"/>
      <c r="N65" s="280"/>
      <c r="O65" s="280"/>
      <c r="P65" s="280"/>
      <c r="Q65" s="471"/>
      <c r="R65" s="457"/>
      <c r="S65" s="222"/>
      <c r="T65" s="220"/>
      <c r="U65" s="220"/>
      <c r="V65" s="220"/>
      <c r="W65" s="220"/>
      <c r="X65" s="220"/>
      <c r="Y65" s="220"/>
      <c r="Z65" s="220"/>
      <c r="AA65" s="220"/>
      <c r="AB65" s="220"/>
      <c r="AC65" s="220"/>
      <c r="AD65" s="220"/>
      <c r="AE65" s="220"/>
      <c r="AF65" s="223"/>
    </row>
    <row r="66" spans="3:32">
      <c r="C66" s="281"/>
      <c r="D66" s="280"/>
      <c r="E66" s="280"/>
      <c r="F66" s="280"/>
      <c r="G66" s="280"/>
      <c r="H66" s="280"/>
      <c r="I66" s="280"/>
      <c r="J66" s="280"/>
      <c r="K66" s="280"/>
      <c r="L66" s="280"/>
      <c r="M66" s="280"/>
      <c r="N66" s="280"/>
      <c r="O66" s="280"/>
      <c r="P66" s="280"/>
      <c r="Q66" s="471"/>
      <c r="R66" s="457"/>
      <c r="S66" s="222"/>
      <c r="T66" s="220"/>
      <c r="U66" s="220"/>
      <c r="V66" s="220"/>
      <c r="W66" s="220"/>
      <c r="X66" s="220"/>
      <c r="Y66" s="220"/>
      <c r="Z66" s="220"/>
      <c r="AA66" s="220"/>
      <c r="AB66" s="220"/>
      <c r="AC66" s="220"/>
      <c r="AD66" s="220"/>
      <c r="AE66" s="220"/>
      <c r="AF66" s="223"/>
    </row>
    <row r="67" spans="3:32">
      <c r="C67" s="281"/>
      <c r="D67" s="280"/>
      <c r="E67" s="280"/>
      <c r="F67" s="280"/>
      <c r="G67" s="280"/>
      <c r="H67" s="280"/>
      <c r="I67" s="280"/>
      <c r="J67" s="280"/>
      <c r="K67" s="280"/>
      <c r="L67" s="280"/>
      <c r="M67" s="280"/>
      <c r="N67" s="280"/>
      <c r="O67" s="280"/>
      <c r="P67" s="280"/>
      <c r="Q67" s="471"/>
      <c r="R67" s="457"/>
      <c r="S67" s="222"/>
      <c r="T67" s="220"/>
      <c r="U67" s="220"/>
      <c r="V67" s="220"/>
      <c r="W67" s="220"/>
      <c r="X67" s="220"/>
      <c r="Y67" s="220"/>
      <c r="Z67" s="220"/>
      <c r="AA67" s="220"/>
      <c r="AB67" s="220"/>
      <c r="AC67" s="220"/>
      <c r="AD67" s="220"/>
      <c r="AE67" s="220"/>
      <c r="AF67" s="223"/>
    </row>
    <row r="68" spans="3:32" ht="15.75" thickBot="1">
      <c r="C68" s="282"/>
      <c r="D68" s="283"/>
      <c r="E68" s="283"/>
      <c r="F68" s="283"/>
      <c r="G68" s="283"/>
      <c r="H68" s="283"/>
      <c r="I68" s="283"/>
      <c r="J68" s="283"/>
      <c r="K68" s="283"/>
      <c r="L68" s="283"/>
      <c r="M68" s="283"/>
      <c r="N68" s="283"/>
      <c r="O68" s="283"/>
      <c r="P68" s="283"/>
      <c r="Q68" s="472"/>
      <c r="R68" s="458"/>
      <c r="S68" s="224"/>
      <c r="T68" s="225"/>
      <c r="U68" s="225"/>
      <c r="V68" s="225"/>
      <c r="W68" s="225"/>
      <c r="X68" s="225"/>
      <c r="Y68" s="225"/>
      <c r="Z68" s="225"/>
      <c r="AA68" s="225"/>
      <c r="AB68" s="225"/>
      <c r="AC68" s="225"/>
      <c r="AD68" s="225"/>
      <c r="AE68" s="225"/>
      <c r="AF68" s="226"/>
    </row>
    <row r="78" spans="3:32">
      <c r="H78" s="212"/>
    </row>
  </sheetData>
  <mergeCells count="81">
    <mergeCell ref="C12:Q12"/>
    <mergeCell ref="C13:Q21"/>
    <mergeCell ref="D30:I30"/>
    <mergeCell ref="D25:I25"/>
    <mergeCell ref="D26:I26"/>
    <mergeCell ref="D27:I27"/>
    <mergeCell ref="D28:I28"/>
    <mergeCell ref="D29:I29"/>
    <mergeCell ref="C1:Q2"/>
    <mergeCell ref="C3:Q3"/>
    <mergeCell ref="C4:Q4"/>
    <mergeCell ref="C5:Q5"/>
    <mergeCell ref="C6:Q11"/>
    <mergeCell ref="C23:Q24"/>
    <mergeCell ref="J25:Q30"/>
    <mergeCell ref="C31:Q33"/>
    <mergeCell ref="C34:Q34"/>
    <mergeCell ref="C37:E37"/>
    <mergeCell ref="F37:H37"/>
    <mergeCell ref="I37:K37"/>
    <mergeCell ref="L37:N37"/>
    <mergeCell ref="C35:Q36"/>
    <mergeCell ref="O37:Q37"/>
    <mergeCell ref="C65:Q68"/>
    <mergeCell ref="S1:AF2"/>
    <mergeCell ref="S3:AF4"/>
    <mergeCell ref="S5:V6"/>
    <mergeCell ref="X5:AA6"/>
    <mergeCell ref="AC5:AF6"/>
    <mergeCell ref="S7:AF8"/>
    <mergeCell ref="S9:V13"/>
    <mergeCell ref="S14:V18"/>
    <mergeCell ref="S19:V23"/>
    <mergeCell ref="X9:AA13"/>
    <mergeCell ref="X14:AA18"/>
    <mergeCell ref="C59:Q60"/>
    <mergeCell ref="C61:E63"/>
    <mergeCell ref="G61:I63"/>
    <mergeCell ref="K61:M63"/>
    <mergeCell ref="AC9:AF13"/>
    <mergeCell ref="AC14:AF18"/>
    <mergeCell ref="AC19:AF23"/>
    <mergeCell ref="S24:AF25"/>
    <mergeCell ref="C64:Q64"/>
    <mergeCell ref="O61:Q63"/>
    <mergeCell ref="C39:Q44"/>
    <mergeCell ref="C45:Q45"/>
    <mergeCell ref="C46:Q57"/>
    <mergeCell ref="C58:Q58"/>
    <mergeCell ref="C38:E38"/>
    <mergeCell ref="F38:H38"/>
    <mergeCell ref="I38:K38"/>
    <mergeCell ref="L38:N38"/>
    <mergeCell ref="O38:Q38"/>
    <mergeCell ref="C22:Q22"/>
    <mergeCell ref="S26:V30"/>
    <mergeCell ref="X26:AA30"/>
    <mergeCell ref="AC26:AF30"/>
    <mergeCell ref="S31:V35"/>
    <mergeCell ref="X31:AA35"/>
    <mergeCell ref="AC31:AF35"/>
    <mergeCell ref="S36:V40"/>
    <mergeCell ref="X36:AA40"/>
    <mergeCell ref="AC36:AF40"/>
    <mergeCell ref="S41:AF42"/>
    <mergeCell ref="S43:V47"/>
    <mergeCell ref="W43:W52"/>
    <mergeCell ref="AB43:AB52"/>
    <mergeCell ref="S53:AF68"/>
    <mergeCell ref="S48:V52"/>
    <mergeCell ref="X43:AA47"/>
    <mergeCell ref="AC43:AF47"/>
    <mergeCell ref="X48:AA52"/>
    <mergeCell ref="AC48:AF52"/>
    <mergeCell ref="W5:W6"/>
    <mergeCell ref="AB5:AB6"/>
    <mergeCell ref="W9:W23"/>
    <mergeCell ref="AB9:AB23"/>
    <mergeCell ref="W26:W40"/>
    <mergeCell ref="AB26:AB40"/>
    <mergeCell ref="X19:AA2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07CCC-09DB-48C4-85C3-D113A168FE6D}">
  <dimension ref="B1:U46"/>
  <sheetViews>
    <sheetView tabSelected="1" topLeftCell="A38" zoomScale="80" zoomScaleNormal="80" workbookViewId="0">
      <selection activeCell="K39" sqref="K39:O46"/>
    </sheetView>
  </sheetViews>
  <sheetFormatPr defaultRowHeight="15"/>
  <cols>
    <col min="10" max="10" width="24.7109375" customWidth="1"/>
    <col min="13" max="13" width="13.5703125" customWidth="1"/>
    <col min="14" max="14" width="22" customWidth="1"/>
    <col min="15" max="15" width="120.5703125" customWidth="1"/>
  </cols>
  <sheetData>
    <row r="1" spans="2:21" ht="15.75" thickBot="1"/>
    <row r="2" spans="2:21">
      <c r="B2" s="371" t="s">
        <v>861</v>
      </c>
      <c r="C2" s="372"/>
      <c r="D2" s="372"/>
      <c r="E2" s="372"/>
      <c r="F2" s="372"/>
      <c r="G2" s="372"/>
      <c r="H2" s="372"/>
      <c r="I2" s="372"/>
      <c r="J2" s="373"/>
      <c r="M2" s="359" t="s">
        <v>861</v>
      </c>
      <c r="N2" s="360"/>
      <c r="O2" s="361"/>
      <c r="P2" s="200"/>
      <c r="Q2" s="200"/>
      <c r="R2" s="200"/>
      <c r="S2" s="200"/>
      <c r="T2" s="200"/>
      <c r="U2" s="200"/>
    </row>
    <row r="3" spans="2:21">
      <c r="B3" s="190" t="s">
        <v>77</v>
      </c>
      <c r="C3" s="365" t="s">
        <v>686</v>
      </c>
      <c r="D3" s="365"/>
      <c r="E3" s="365"/>
      <c r="F3" s="365"/>
      <c r="G3" s="365"/>
      <c r="H3" s="365"/>
      <c r="I3" s="365"/>
      <c r="J3" s="366"/>
      <c r="M3" s="196" t="s">
        <v>88</v>
      </c>
      <c r="N3" s="202" t="s">
        <v>752</v>
      </c>
      <c r="O3" s="203" t="s">
        <v>686</v>
      </c>
      <c r="P3" s="201"/>
      <c r="Q3" s="201"/>
      <c r="R3" s="201"/>
      <c r="S3" s="201"/>
      <c r="T3" s="201"/>
      <c r="U3" s="201"/>
    </row>
    <row r="4" spans="2:21" ht="29.25" customHeight="1">
      <c r="B4" s="190">
        <v>0</v>
      </c>
      <c r="C4" s="367" t="s">
        <v>744</v>
      </c>
      <c r="D4" s="367"/>
      <c r="E4" s="367"/>
      <c r="F4" s="367"/>
      <c r="G4" s="367"/>
      <c r="H4" s="367"/>
      <c r="I4" s="367"/>
      <c r="J4" s="368"/>
      <c r="K4" s="189"/>
      <c r="L4" s="189"/>
      <c r="M4" s="196" t="s">
        <v>719</v>
      </c>
      <c r="N4" s="198" t="s">
        <v>863</v>
      </c>
      <c r="O4" s="199" t="s">
        <v>865</v>
      </c>
      <c r="P4" s="195"/>
      <c r="Q4" s="195"/>
      <c r="R4" s="195"/>
      <c r="S4" s="195"/>
      <c r="T4" s="195"/>
      <c r="U4" s="195"/>
    </row>
    <row r="5" spans="2:21" ht="29.25" customHeight="1">
      <c r="B5" s="190">
        <v>1</v>
      </c>
      <c r="C5" s="367" t="s">
        <v>687</v>
      </c>
      <c r="D5" s="367"/>
      <c r="E5" s="367"/>
      <c r="F5" s="367"/>
      <c r="G5" s="367"/>
      <c r="H5" s="367"/>
      <c r="I5" s="367"/>
      <c r="J5" s="368"/>
      <c r="K5" s="189"/>
      <c r="L5" s="189"/>
      <c r="M5" s="196" t="s">
        <v>735</v>
      </c>
      <c r="N5" s="198" t="s">
        <v>721</v>
      </c>
      <c r="O5" s="199" t="s">
        <v>724</v>
      </c>
      <c r="P5" s="195"/>
      <c r="Q5" s="195"/>
      <c r="R5" s="195"/>
      <c r="S5" s="195"/>
      <c r="T5" s="195"/>
      <c r="U5" s="195"/>
    </row>
    <row r="6" spans="2:21" ht="29.25" customHeight="1">
      <c r="B6" s="190">
        <v>2</v>
      </c>
      <c r="C6" s="367" t="s">
        <v>688</v>
      </c>
      <c r="D6" s="367"/>
      <c r="E6" s="367"/>
      <c r="F6" s="367"/>
      <c r="G6" s="367"/>
      <c r="H6" s="367"/>
      <c r="I6" s="367"/>
      <c r="J6" s="368"/>
      <c r="K6" s="189"/>
      <c r="L6" s="189"/>
      <c r="M6" s="196" t="s">
        <v>736</v>
      </c>
      <c r="N6" s="198" t="s">
        <v>722</v>
      </c>
      <c r="O6" s="199" t="s">
        <v>866</v>
      </c>
      <c r="P6" s="195"/>
      <c r="Q6" s="195"/>
      <c r="R6" s="195"/>
      <c r="S6" s="195"/>
      <c r="T6" s="195"/>
      <c r="U6" s="195"/>
    </row>
    <row r="7" spans="2:21" ht="28.5" customHeight="1">
      <c r="B7" s="190">
        <v>3</v>
      </c>
      <c r="C7" s="367" t="s">
        <v>738</v>
      </c>
      <c r="D7" s="367"/>
      <c r="E7" s="367"/>
      <c r="F7" s="367"/>
      <c r="G7" s="367"/>
      <c r="H7" s="367"/>
      <c r="I7" s="367"/>
      <c r="J7" s="368"/>
      <c r="K7" s="189"/>
      <c r="L7" s="189"/>
      <c r="M7" s="196" t="s">
        <v>862</v>
      </c>
      <c r="N7" s="198" t="s">
        <v>864</v>
      </c>
      <c r="O7" s="199" t="s">
        <v>867</v>
      </c>
      <c r="P7" s="195"/>
      <c r="Q7" s="195"/>
      <c r="R7" s="195"/>
      <c r="S7" s="195"/>
      <c r="T7" s="195"/>
      <c r="U7" s="195"/>
    </row>
    <row r="8" spans="2:21" ht="30" customHeight="1" thickBot="1">
      <c r="B8" s="190">
        <v>4</v>
      </c>
      <c r="C8" s="367" t="s">
        <v>739</v>
      </c>
      <c r="D8" s="367"/>
      <c r="E8" s="367"/>
      <c r="F8" s="367"/>
      <c r="G8" s="367"/>
      <c r="H8" s="367"/>
      <c r="I8" s="367"/>
      <c r="J8" s="368"/>
      <c r="K8" s="189"/>
      <c r="L8" s="189"/>
      <c r="M8" s="197" t="s">
        <v>720</v>
      </c>
      <c r="N8" s="192" t="s">
        <v>723</v>
      </c>
      <c r="O8" s="193" t="s">
        <v>725</v>
      </c>
      <c r="P8" s="195"/>
      <c r="Q8" s="195"/>
      <c r="R8" s="195"/>
      <c r="S8" s="195"/>
      <c r="T8" s="195"/>
      <c r="U8" s="195"/>
    </row>
    <row r="9" spans="2:21" ht="30.75" customHeight="1" thickBot="1">
      <c r="B9" s="191">
        <v>5</v>
      </c>
      <c r="C9" s="369" t="s">
        <v>740</v>
      </c>
      <c r="D9" s="369"/>
      <c r="E9" s="369"/>
      <c r="F9" s="369"/>
      <c r="G9" s="369"/>
      <c r="H9" s="369"/>
      <c r="I9" s="369"/>
      <c r="J9" s="370"/>
      <c r="K9" s="189"/>
      <c r="L9" s="189"/>
      <c r="M9" s="194"/>
      <c r="N9" s="195"/>
      <c r="O9" s="195"/>
      <c r="P9" s="195"/>
      <c r="Q9" s="195"/>
      <c r="R9" s="195"/>
      <c r="S9" s="195"/>
      <c r="T9" s="195"/>
      <c r="U9" s="195"/>
    </row>
    <row r="12" spans="2:21" ht="15.75" thickBot="1">
      <c r="B12" s="364" t="s">
        <v>869</v>
      </c>
      <c r="C12" s="364"/>
      <c r="D12" s="364"/>
      <c r="E12" s="364"/>
      <c r="F12" s="364"/>
      <c r="G12" s="364"/>
      <c r="H12" s="364"/>
      <c r="I12" s="364"/>
      <c r="J12" s="364"/>
      <c r="K12" s="364"/>
      <c r="L12" s="364"/>
      <c r="M12" s="364"/>
      <c r="N12" s="364"/>
      <c r="O12" s="364"/>
    </row>
    <row r="13" spans="2:21">
      <c r="B13" s="204" t="s">
        <v>868</v>
      </c>
      <c r="C13" s="362" t="s">
        <v>1</v>
      </c>
      <c r="D13" s="362"/>
      <c r="E13" s="362"/>
      <c r="F13" s="362"/>
      <c r="G13" s="362"/>
      <c r="H13" s="362"/>
      <c r="I13" s="362"/>
      <c r="J13" s="362"/>
      <c r="K13" s="362" t="s">
        <v>686</v>
      </c>
      <c r="L13" s="362"/>
      <c r="M13" s="362"/>
      <c r="N13" s="362"/>
      <c r="O13" s="363"/>
    </row>
    <row r="14" spans="2:21" ht="243.75" customHeight="1">
      <c r="B14" s="205">
        <v>1</v>
      </c>
      <c r="C14" s="355" t="s">
        <v>7</v>
      </c>
      <c r="D14" s="355"/>
      <c r="E14" s="355"/>
      <c r="F14" s="355"/>
      <c r="G14" s="355"/>
      <c r="H14" s="355"/>
      <c r="I14" s="355"/>
      <c r="J14" s="355"/>
      <c r="K14" s="355" t="s">
        <v>689</v>
      </c>
      <c r="L14" s="355"/>
      <c r="M14" s="355"/>
      <c r="N14" s="355"/>
      <c r="O14" s="356"/>
    </row>
    <row r="15" spans="2:21" ht="246" customHeight="1">
      <c r="B15" s="205">
        <v>2</v>
      </c>
      <c r="C15" s="355" t="s">
        <v>10</v>
      </c>
      <c r="D15" s="355"/>
      <c r="E15" s="355"/>
      <c r="F15" s="355"/>
      <c r="G15" s="355"/>
      <c r="H15" s="355"/>
      <c r="I15" s="355"/>
      <c r="J15" s="355"/>
      <c r="K15" s="355" t="s">
        <v>690</v>
      </c>
      <c r="L15" s="357"/>
      <c r="M15" s="357"/>
      <c r="N15" s="357"/>
      <c r="O15" s="358"/>
    </row>
    <row r="16" spans="2:21" ht="243" customHeight="1">
      <c r="B16" s="205">
        <v>3</v>
      </c>
      <c r="C16" s="357" t="s">
        <v>12</v>
      </c>
      <c r="D16" s="357"/>
      <c r="E16" s="357"/>
      <c r="F16" s="357"/>
      <c r="G16" s="357"/>
      <c r="H16" s="357"/>
      <c r="I16" s="357"/>
      <c r="J16" s="357"/>
      <c r="K16" s="355" t="s">
        <v>691</v>
      </c>
      <c r="L16" s="357"/>
      <c r="M16" s="357"/>
      <c r="N16" s="357"/>
      <c r="O16" s="358"/>
    </row>
    <row r="17" spans="2:15" ht="264.75" customHeight="1">
      <c r="B17" s="205">
        <v>4</v>
      </c>
      <c r="C17" s="357" t="s">
        <v>14</v>
      </c>
      <c r="D17" s="357"/>
      <c r="E17" s="357"/>
      <c r="F17" s="357"/>
      <c r="G17" s="357"/>
      <c r="H17" s="357"/>
      <c r="I17" s="357"/>
      <c r="J17" s="357"/>
      <c r="K17" s="355" t="s">
        <v>692</v>
      </c>
      <c r="L17" s="357"/>
      <c r="M17" s="357"/>
      <c r="N17" s="357"/>
      <c r="O17" s="358"/>
    </row>
    <row r="18" spans="2:15" ht="270.75" customHeight="1">
      <c r="B18" s="205">
        <v>5</v>
      </c>
      <c r="C18" s="357" t="s">
        <v>16</v>
      </c>
      <c r="D18" s="357"/>
      <c r="E18" s="357"/>
      <c r="F18" s="357"/>
      <c r="G18" s="357"/>
      <c r="H18" s="357"/>
      <c r="I18" s="357"/>
      <c r="J18" s="357"/>
      <c r="K18" s="355" t="s">
        <v>693</v>
      </c>
      <c r="L18" s="357"/>
      <c r="M18" s="357"/>
      <c r="N18" s="357"/>
      <c r="O18" s="358"/>
    </row>
    <row r="19" spans="2:15" ht="240.75" customHeight="1">
      <c r="B19" s="205">
        <v>6</v>
      </c>
      <c r="C19" s="357" t="s">
        <v>20</v>
      </c>
      <c r="D19" s="357"/>
      <c r="E19" s="357"/>
      <c r="F19" s="357"/>
      <c r="G19" s="357"/>
      <c r="H19" s="357"/>
      <c r="I19" s="357"/>
      <c r="J19" s="357"/>
      <c r="K19" s="355" t="s">
        <v>694</v>
      </c>
      <c r="L19" s="357"/>
      <c r="M19" s="357"/>
      <c r="N19" s="357"/>
      <c r="O19" s="358"/>
    </row>
    <row r="20" spans="2:15" ht="251.25" customHeight="1">
      <c r="B20" s="205">
        <v>7</v>
      </c>
      <c r="C20" s="357" t="s">
        <v>23</v>
      </c>
      <c r="D20" s="357"/>
      <c r="E20" s="357"/>
      <c r="F20" s="357"/>
      <c r="G20" s="357"/>
      <c r="H20" s="357"/>
      <c r="I20" s="357"/>
      <c r="J20" s="357"/>
      <c r="K20" s="355" t="s">
        <v>695</v>
      </c>
      <c r="L20" s="357"/>
      <c r="M20" s="357"/>
      <c r="N20" s="357"/>
      <c r="O20" s="358"/>
    </row>
    <row r="21" spans="2:15" ht="272.25" customHeight="1">
      <c r="B21" s="205">
        <v>8</v>
      </c>
      <c r="C21" s="355" t="s">
        <v>25</v>
      </c>
      <c r="D21" s="355"/>
      <c r="E21" s="355"/>
      <c r="F21" s="355"/>
      <c r="G21" s="355"/>
      <c r="H21" s="355"/>
      <c r="I21" s="355"/>
      <c r="J21" s="355"/>
      <c r="K21" s="355" t="s">
        <v>933</v>
      </c>
      <c r="L21" s="357"/>
      <c r="M21" s="357"/>
      <c r="N21" s="357"/>
      <c r="O21" s="358"/>
    </row>
    <row r="22" spans="2:15" ht="268.5" customHeight="1">
      <c r="B22" s="205">
        <v>9</v>
      </c>
      <c r="C22" s="357" t="s">
        <v>27</v>
      </c>
      <c r="D22" s="357"/>
      <c r="E22" s="357"/>
      <c r="F22" s="357"/>
      <c r="G22" s="357"/>
      <c r="H22" s="357"/>
      <c r="I22" s="357"/>
      <c r="J22" s="357"/>
      <c r="K22" s="355" t="s">
        <v>696</v>
      </c>
      <c r="L22" s="357"/>
      <c r="M22" s="357"/>
      <c r="N22" s="357"/>
      <c r="O22" s="358"/>
    </row>
    <row r="23" spans="2:15" ht="276.75" customHeight="1">
      <c r="B23" s="205">
        <v>10</v>
      </c>
      <c r="C23" s="357" t="s">
        <v>697</v>
      </c>
      <c r="D23" s="357"/>
      <c r="E23" s="357"/>
      <c r="F23" s="357"/>
      <c r="G23" s="357"/>
      <c r="H23" s="357"/>
      <c r="I23" s="357"/>
      <c r="J23" s="357"/>
      <c r="K23" s="355" t="s">
        <v>698</v>
      </c>
      <c r="L23" s="355"/>
      <c r="M23" s="355"/>
      <c r="N23" s="355"/>
      <c r="O23" s="356"/>
    </row>
    <row r="24" spans="2:15" ht="297.75" customHeight="1">
      <c r="B24" s="205">
        <v>11</v>
      </c>
      <c r="C24" s="357" t="s">
        <v>32</v>
      </c>
      <c r="D24" s="357"/>
      <c r="E24" s="357"/>
      <c r="F24" s="357"/>
      <c r="G24" s="357"/>
      <c r="H24" s="357"/>
      <c r="I24" s="357"/>
      <c r="J24" s="357"/>
      <c r="K24" s="355" t="s">
        <v>870</v>
      </c>
      <c r="L24" s="357"/>
      <c r="M24" s="357"/>
      <c r="N24" s="357"/>
      <c r="O24" s="358"/>
    </row>
    <row r="25" spans="2:15" ht="331.5" customHeight="1">
      <c r="B25" s="205">
        <v>12</v>
      </c>
      <c r="C25" s="357" t="s">
        <v>34</v>
      </c>
      <c r="D25" s="357" t="s">
        <v>34</v>
      </c>
      <c r="E25" s="357" t="s">
        <v>34</v>
      </c>
      <c r="F25" s="357" t="s">
        <v>34</v>
      </c>
      <c r="G25" s="357" t="s">
        <v>34</v>
      </c>
      <c r="H25" s="357" t="s">
        <v>34</v>
      </c>
      <c r="I25" s="357" t="s">
        <v>34</v>
      </c>
      <c r="J25" s="357" t="s">
        <v>34</v>
      </c>
      <c r="K25" s="355" t="s">
        <v>699</v>
      </c>
      <c r="L25" s="355" t="s">
        <v>699</v>
      </c>
      <c r="M25" s="355" t="s">
        <v>699</v>
      </c>
      <c r="N25" s="355" t="s">
        <v>699</v>
      </c>
      <c r="O25" s="356" t="s">
        <v>699</v>
      </c>
    </row>
    <row r="26" spans="2:15" ht="291" customHeight="1">
      <c r="B26" s="205">
        <v>13</v>
      </c>
      <c r="C26" s="357" t="s">
        <v>38</v>
      </c>
      <c r="D26" s="357" t="s">
        <v>38</v>
      </c>
      <c r="E26" s="357" t="s">
        <v>38</v>
      </c>
      <c r="F26" s="357" t="s">
        <v>38</v>
      </c>
      <c r="G26" s="357" t="s">
        <v>38</v>
      </c>
      <c r="H26" s="357" t="s">
        <v>38</v>
      </c>
      <c r="I26" s="357" t="s">
        <v>38</v>
      </c>
      <c r="J26" s="357" t="s">
        <v>38</v>
      </c>
      <c r="K26" s="355" t="s">
        <v>700</v>
      </c>
      <c r="L26" s="355" t="s">
        <v>700</v>
      </c>
      <c r="M26" s="355" t="s">
        <v>700</v>
      </c>
      <c r="N26" s="355" t="s">
        <v>700</v>
      </c>
      <c r="O26" s="356" t="s">
        <v>700</v>
      </c>
    </row>
    <row r="27" spans="2:15" ht="282.75" customHeight="1">
      <c r="B27" s="205">
        <v>14</v>
      </c>
      <c r="C27" s="357" t="s">
        <v>40</v>
      </c>
      <c r="D27" s="357" t="s">
        <v>40</v>
      </c>
      <c r="E27" s="357" t="s">
        <v>40</v>
      </c>
      <c r="F27" s="357" t="s">
        <v>40</v>
      </c>
      <c r="G27" s="357" t="s">
        <v>40</v>
      </c>
      <c r="H27" s="357" t="s">
        <v>40</v>
      </c>
      <c r="I27" s="357" t="s">
        <v>40</v>
      </c>
      <c r="J27" s="357" t="s">
        <v>40</v>
      </c>
      <c r="K27" s="355" t="s">
        <v>701</v>
      </c>
      <c r="L27" s="355" t="s">
        <v>701</v>
      </c>
      <c r="M27" s="355" t="s">
        <v>701</v>
      </c>
      <c r="N27" s="355" t="s">
        <v>701</v>
      </c>
      <c r="O27" s="356" t="s">
        <v>701</v>
      </c>
    </row>
    <row r="28" spans="2:15" ht="269.25" customHeight="1">
      <c r="B28" s="205">
        <v>15</v>
      </c>
      <c r="C28" s="357" t="s">
        <v>42</v>
      </c>
      <c r="D28" s="357" t="s">
        <v>42</v>
      </c>
      <c r="E28" s="357" t="s">
        <v>42</v>
      </c>
      <c r="F28" s="357" t="s">
        <v>42</v>
      </c>
      <c r="G28" s="357" t="s">
        <v>42</v>
      </c>
      <c r="H28" s="357" t="s">
        <v>42</v>
      </c>
      <c r="I28" s="357" t="s">
        <v>42</v>
      </c>
      <c r="J28" s="357" t="s">
        <v>42</v>
      </c>
      <c r="K28" s="355" t="s">
        <v>702</v>
      </c>
      <c r="L28" s="355" t="s">
        <v>702</v>
      </c>
      <c r="M28" s="355" t="s">
        <v>702</v>
      </c>
      <c r="N28" s="355" t="s">
        <v>702</v>
      </c>
      <c r="O28" s="356" t="s">
        <v>702</v>
      </c>
    </row>
    <row r="29" spans="2:15" ht="409.5" customHeight="1">
      <c r="B29" s="205">
        <v>16</v>
      </c>
      <c r="C29" s="357" t="s">
        <v>44</v>
      </c>
      <c r="D29" s="357"/>
      <c r="E29" s="357"/>
      <c r="F29" s="357"/>
      <c r="G29" s="357"/>
      <c r="H29" s="357"/>
      <c r="I29" s="357"/>
      <c r="J29" s="357"/>
      <c r="K29" s="355" t="s">
        <v>871</v>
      </c>
      <c r="L29" s="355"/>
      <c r="M29" s="355"/>
      <c r="N29" s="355"/>
      <c r="O29" s="356"/>
    </row>
    <row r="30" spans="2:15" ht="114.75" customHeight="1">
      <c r="B30" s="205"/>
      <c r="C30" s="357"/>
      <c r="D30" s="357"/>
      <c r="E30" s="357"/>
      <c r="F30" s="357"/>
      <c r="G30" s="357"/>
      <c r="H30" s="357"/>
      <c r="I30" s="357"/>
      <c r="J30" s="357"/>
      <c r="K30" s="355"/>
      <c r="L30" s="355"/>
      <c r="M30" s="355"/>
      <c r="N30" s="355"/>
      <c r="O30" s="356"/>
    </row>
    <row r="31" spans="2:15" ht="276" customHeight="1">
      <c r="B31" s="205">
        <v>17</v>
      </c>
      <c r="C31" s="357" t="s">
        <v>46</v>
      </c>
      <c r="D31" s="357" t="s">
        <v>46</v>
      </c>
      <c r="E31" s="357" t="s">
        <v>46</v>
      </c>
      <c r="F31" s="357" t="s">
        <v>46</v>
      </c>
      <c r="G31" s="357" t="s">
        <v>46</v>
      </c>
      <c r="H31" s="357" t="s">
        <v>46</v>
      </c>
      <c r="I31" s="357" t="s">
        <v>46</v>
      </c>
      <c r="J31" s="357" t="s">
        <v>46</v>
      </c>
      <c r="K31" s="355" t="s">
        <v>703</v>
      </c>
      <c r="L31" s="355" t="s">
        <v>703</v>
      </c>
      <c r="M31" s="355" t="s">
        <v>703</v>
      </c>
      <c r="N31" s="355" t="s">
        <v>703</v>
      </c>
      <c r="O31" s="356" t="s">
        <v>703</v>
      </c>
    </row>
    <row r="32" spans="2:15" ht="267.75" customHeight="1">
      <c r="B32" s="205">
        <v>18</v>
      </c>
      <c r="C32" s="357" t="s">
        <v>398</v>
      </c>
      <c r="D32" s="357" t="s">
        <v>398</v>
      </c>
      <c r="E32" s="357" t="s">
        <v>398</v>
      </c>
      <c r="F32" s="357" t="s">
        <v>398</v>
      </c>
      <c r="G32" s="357" t="s">
        <v>398</v>
      </c>
      <c r="H32" s="357" t="s">
        <v>398</v>
      </c>
      <c r="I32" s="357" t="s">
        <v>398</v>
      </c>
      <c r="J32" s="357" t="s">
        <v>398</v>
      </c>
      <c r="K32" s="355" t="s">
        <v>704</v>
      </c>
      <c r="L32" s="355" t="s">
        <v>704</v>
      </c>
      <c r="M32" s="355" t="s">
        <v>704</v>
      </c>
      <c r="N32" s="355" t="s">
        <v>704</v>
      </c>
      <c r="O32" s="356" t="s">
        <v>704</v>
      </c>
    </row>
    <row r="33" spans="2:15" ht="308.25" customHeight="1">
      <c r="B33" s="205">
        <v>19</v>
      </c>
      <c r="C33" s="357" t="s">
        <v>399</v>
      </c>
      <c r="D33" s="357" t="s">
        <v>399</v>
      </c>
      <c r="E33" s="357" t="s">
        <v>399</v>
      </c>
      <c r="F33" s="357" t="s">
        <v>399</v>
      </c>
      <c r="G33" s="357" t="s">
        <v>399</v>
      </c>
      <c r="H33" s="357" t="s">
        <v>399</v>
      </c>
      <c r="I33" s="357" t="s">
        <v>399</v>
      </c>
      <c r="J33" s="357" t="s">
        <v>399</v>
      </c>
      <c r="K33" s="355" t="s">
        <v>705</v>
      </c>
      <c r="L33" s="355" t="s">
        <v>705</v>
      </c>
      <c r="M33" s="355" t="s">
        <v>705</v>
      </c>
      <c r="N33" s="355" t="s">
        <v>705</v>
      </c>
      <c r="O33" s="356" t="s">
        <v>705</v>
      </c>
    </row>
    <row r="34" spans="2:15" ht="227.25" customHeight="1">
      <c r="B34" s="205">
        <v>20</v>
      </c>
      <c r="C34" s="357" t="s">
        <v>49</v>
      </c>
      <c r="D34" s="357" t="s">
        <v>49</v>
      </c>
      <c r="E34" s="357" t="s">
        <v>49</v>
      </c>
      <c r="F34" s="357" t="s">
        <v>49</v>
      </c>
      <c r="G34" s="357" t="s">
        <v>49</v>
      </c>
      <c r="H34" s="357" t="s">
        <v>49</v>
      </c>
      <c r="I34" s="357" t="s">
        <v>49</v>
      </c>
      <c r="J34" s="357" t="s">
        <v>49</v>
      </c>
      <c r="K34" s="355" t="s">
        <v>706</v>
      </c>
      <c r="L34" s="355" t="s">
        <v>706</v>
      </c>
      <c r="M34" s="355" t="s">
        <v>706</v>
      </c>
      <c r="N34" s="355" t="s">
        <v>706</v>
      </c>
      <c r="O34" s="356" t="s">
        <v>706</v>
      </c>
    </row>
    <row r="35" spans="2:15" ht="214.5" customHeight="1">
      <c r="B35" s="205">
        <v>21</v>
      </c>
      <c r="C35" s="357" t="s">
        <v>51</v>
      </c>
      <c r="D35" s="357" t="s">
        <v>51</v>
      </c>
      <c r="E35" s="357" t="s">
        <v>51</v>
      </c>
      <c r="F35" s="357" t="s">
        <v>51</v>
      </c>
      <c r="G35" s="357" t="s">
        <v>51</v>
      </c>
      <c r="H35" s="357" t="s">
        <v>51</v>
      </c>
      <c r="I35" s="357" t="s">
        <v>51</v>
      </c>
      <c r="J35" s="357" t="s">
        <v>51</v>
      </c>
      <c r="K35" s="355" t="s">
        <v>707</v>
      </c>
      <c r="L35" s="355" t="s">
        <v>707</v>
      </c>
      <c r="M35" s="355" t="s">
        <v>707</v>
      </c>
      <c r="N35" s="355" t="s">
        <v>707</v>
      </c>
      <c r="O35" s="356" t="s">
        <v>707</v>
      </c>
    </row>
    <row r="36" spans="2:15" ht="231.75" customHeight="1">
      <c r="B36" s="205">
        <v>22</v>
      </c>
      <c r="C36" s="357" t="s">
        <v>53</v>
      </c>
      <c r="D36" s="357" t="s">
        <v>53</v>
      </c>
      <c r="E36" s="357" t="s">
        <v>53</v>
      </c>
      <c r="F36" s="357" t="s">
        <v>53</v>
      </c>
      <c r="G36" s="357" t="s">
        <v>53</v>
      </c>
      <c r="H36" s="357" t="s">
        <v>53</v>
      </c>
      <c r="I36" s="357" t="s">
        <v>53</v>
      </c>
      <c r="J36" s="357" t="s">
        <v>53</v>
      </c>
      <c r="K36" s="355" t="s">
        <v>708</v>
      </c>
      <c r="L36" s="355" t="s">
        <v>708</v>
      </c>
      <c r="M36" s="355" t="s">
        <v>708</v>
      </c>
      <c r="N36" s="355" t="s">
        <v>708</v>
      </c>
      <c r="O36" s="356" t="s">
        <v>708</v>
      </c>
    </row>
    <row r="37" spans="2:15" ht="246.75" customHeight="1">
      <c r="B37" s="205">
        <v>23</v>
      </c>
      <c r="C37" s="357" t="s">
        <v>55</v>
      </c>
      <c r="D37" s="357" t="s">
        <v>55</v>
      </c>
      <c r="E37" s="357" t="s">
        <v>55</v>
      </c>
      <c r="F37" s="357" t="s">
        <v>55</v>
      </c>
      <c r="G37" s="357" t="s">
        <v>55</v>
      </c>
      <c r="H37" s="357" t="s">
        <v>55</v>
      </c>
      <c r="I37" s="357" t="s">
        <v>55</v>
      </c>
      <c r="J37" s="357" t="s">
        <v>55</v>
      </c>
      <c r="K37" s="355" t="s">
        <v>709</v>
      </c>
      <c r="L37" s="355" t="s">
        <v>709</v>
      </c>
      <c r="M37" s="355" t="s">
        <v>709</v>
      </c>
      <c r="N37" s="355" t="s">
        <v>709</v>
      </c>
      <c r="O37" s="356" t="s">
        <v>709</v>
      </c>
    </row>
    <row r="38" spans="2:15" ht="264.75" customHeight="1">
      <c r="B38" s="205">
        <v>24</v>
      </c>
      <c r="C38" s="357" t="s">
        <v>58</v>
      </c>
      <c r="D38" s="357" t="s">
        <v>58</v>
      </c>
      <c r="E38" s="357" t="s">
        <v>58</v>
      </c>
      <c r="F38" s="357" t="s">
        <v>58</v>
      </c>
      <c r="G38" s="357" t="s">
        <v>58</v>
      </c>
      <c r="H38" s="357" t="s">
        <v>58</v>
      </c>
      <c r="I38" s="357" t="s">
        <v>58</v>
      </c>
      <c r="J38" s="357" t="s">
        <v>58</v>
      </c>
      <c r="K38" s="355" t="s">
        <v>710</v>
      </c>
      <c r="L38" s="355" t="s">
        <v>710</v>
      </c>
      <c r="M38" s="355" t="s">
        <v>710</v>
      </c>
      <c r="N38" s="355" t="s">
        <v>710</v>
      </c>
      <c r="O38" s="356" t="s">
        <v>710</v>
      </c>
    </row>
    <row r="39" spans="2:15" ht="334.5" customHeight="1">
      <c r="B39" s="205">
        <v>25</v>
      </c>
      <c r="C39" s="374" t="s">
        <v>60</v>
      </c>
      <c r="D39" s="374" t="s">
        <v>60</v>
      </c>
      <c r="E39" s="374" t="s">
        <v>60</v>
      </c>
      <c r="F39" s="374" t="s">
        <v>60</v>
      </c>
      <c r="G39" s="374" t="s">
        <v>60</v>
      </c>
      <c r="H39" s="374" t="s">
        <v>60</v>
      </c>
      <c r="I39" s="374" t="s">
        <v>60</v>
      </c>
      <c r="J39" s="374" t="s">
        <v>60</v>
      </c>
      <c r="K39" s="367" t="s">
        <v>711</v>
      </c>
      <c r="L39" s="367" t="s">
        <v>711</v>
      </c>
      <c r="M39" s="367" t="s">
        <v>711</v>
      </c>
      <c r="N39" s="367" t="s">
        <v>711</v>
      </c>
      <c r="O39" s="368" t="s">
        <v>711</v>
      </c>
    </row>
    <row r="40" spans="2:15" ht="310.5" customHeight="1">
      <c r="B40" s="205">
        <v>26</v>
      </c>
      <c r="C40" s="374" t="s">
        <v>62</v>
      </c>
      <c r="D40" s="374" t="s">
        <v>62</v>
      </c>
      <c r="E40" s="374" t="s">
        <v>62</v>
      </c>
      <c r="F40" s="374" t="s">
        <v>62</v>
      </c>
      <c r="G40" s="374" t="s">
        <v>62</v>
      </c>
      <c r="H40" s="374" t="s">
        <v>62</v>
      </c>
      <c r="I40" s="374" t="s">
        <v>62</v>
      </c>
      <c r="J40" s="374" t="s">
        <v>62</v>
      </c>
      <c r="K40" s="367" t="s">
        <v>712</v>
      </c>
      <c r="L40" s="367" t="s">
        <v>712</v>
      </c>
      <c r="M40" s="367" t="s">
        <v>712</v>
      </c>
      <c r="N40" s="367" t="s">
        <v>712</v>
      </c>
      <c r="O40" s="368" t="s">
        <v>712</v>
      </c>
    </row>
    <row r="41" spans="2:15" ht="299.25" customHeight="1">
      <c r="B41" s="205">
        <v>27</v>
      </c>
      <c r="C41" s="374" t="s">
        <v>65</v>
      </c>
      <c r="D41" s="374" t="s">
        <v>65</v>
      </c>
      <c r="E41" s="374" t="s">
        <v>65</v>
      </c>
      <c r="F41" s="374" t="s">
        <v>65</v>
      </c>
      <c r="G41" s="374" t="s">
        <v>65</v>
      </c>
      <c r="H41" s="374" t="s">
        <v>65</v>
      </c>
      <c r="I41" s="374" t="s">
        <v>65</v>
      </c>
      <c r="J41" s="374" t="s">
        <v>65</v>
      </c>
      <c r="K41" s="367" t="s">
        <v>713</v>
      </c>
      <c r="L41" s="367" t="s">
        <v>713</v>
      </c>
      <c r="M41" s="367" t="s">
        <v>713</v>
      </c>
      <c r="N41" s="367" t="s">
        <v>713</v>
      </c>
      <c r="O41" s="368" t="s">
        <v>713</v>
      </c>
    </row>
    <row r="42" spans="2:15" ht="122.25" customHeight="1">
      <c r="B42" s="205">
        <v>28</v>
      </c>
      <c r="C42" s="374" t="s">
        <v>67</v>
      </c>
      <c r="D42" s="374" t="s">
        <v>67</v>
      </c>
      <c r="E42" s="374" t="s">
        <v>67</v>
      </c>
      <c r="F42" s="374" t="s">
        <v>67</v>
      </c>
      <c r="G42" s="374" t="s">
        <v>67</v>
      </c>
      <c r="H42" s="374" t="s">
        <v>67</v>
      </c>
      <c r="I42" s="374" t="s">
        <v>67</v>
      </c>
      <c r="J42" s="374" t="s">
        <v>67</v>
      </c>
      <c r="K42" s="367" t="s">
        <v>714</v>
      </c>
      <c r="L42" s="367" t="s">
        <v>714</v>
      </c>
      <c r="M42" s="367" t="s">
        <v>714</v>
      </c>
      <c r="N42" s="367" t="s">
        <v>714</v>
      </c>
      <c r="O42" s="368" t="s">
        <v>714</v>
      </c>
    </row>
    <row r="43" spans="2:15" ht="125.25" customHeight="1">
      <c r="B43" s="205">
        <v>29</v>
      </c>
      <c r="C43" s="374" t="s">
        <v>69</v>
      </c>
      <c r="D43" s="374" t="s">
        <v>69</v>
      </c>
      <c r="E43" s="374" t="s">
        <v>69</v>
      </c>
      <c r="F43" s="374" t="s">
        <v>69</v>
      </c>
      <c r="G43" s="374" t="s">
        <v>69</v>
      </c>
      <c r="H43" s="374" t="s">
        <v>69</v>
      </c>
      <c r="I43" s="374" t="s">
        <v>69</v>
      </c>
      <c r="J43" s="374" t="s">
        <v>69</v>
      </c>
      <c r="K43" s="367" t="s">
        <v>715</v>
      </c>
      <c r="L43" s="367" t="s">
        <v>715</v>
      </c>
      <c r="M43" s="367" t="s">
        <v>715</v>
      </c>
      <c r="N43" s="367" t="s">
        <v>715</v>
      </c>
      <c r="O43" s="368" t="s">
        <v>715</v>
      </c>
    </row>
    <row r="44" spans="2:15" ht="131.25" customHeight="1">
      <c r="B44" s="205">
        <v>30</v>
      </c>
      <c r="C44" s="374" t="s">
        <v>72</v>
      </c>
      <c r="D44" s="374" t="s">
        <v>72</v>
      </c>
      <c r="E44" s="374" t="s">
        <v>72</v>
      </c>
      <c r="F44" s="374" t="s">
        <v>72</v>
      </c>
      <c r="G44" s="374" t="s">
        <v>72</v>
      </c>
      <c r="H44" s="374" t="s">
        <v>72</v>
      </c>
      <c r="I44" s="374" t="s">
        <v>72</v>
      </c>
      <c r="J44" s="374" t="s">
        <v>72</v>
      </c>
      <c r="K44" s="367" t="s">
        <v>716</v>
      </c>
      <c r="L44" s="367" t="s">
        <v>716</v>
      </c>
      <c r="M44" s="367" t="s">
        <v>716</v>
      </c>
      <c r="N44" s="367" t="s">
        <v>716</v>
      </c>
      <c r="O44" s="368" t="s">
        <v>716</v>
      </c>
    </row>
    <row r="45" spans="2:15" ht="106.5" customHeight="1">
      <c r="B45" s="205">
        <v>31</v>
      </c>
      <c r="C45" s="374" t="s">
        <v>74</v>
      </c>
      <c r="D45" s="374" t="s">
        <v>74</v>
      </c>
      <c r="E45" s="374" t="s">
        <v>74</v>
      </c>
      <c r="F45" s="374" t="s">
        <v>74</v>
      </c>
      <c r="G45" s="374" t="s">
        <v>74</v>
      </c>
      <c r="H45" s="374" t="s">
        <v>74</v>
      </c>
      <c r="I45" s="374" t="s">
        <v>74</v>
      </c>
      <c r="J45" s="374" t="s">
        <v>74</v>
      </c>
      <c r="K45" s="367" t="s">
        <v>717</v>
      </c>
      <c r="L45" s="367" t="s">
        <v>717</v>
      </c>
      <c r="M45" s="367" t="s">
        <v>717</v>
      </c>
      <c r="N45" s="367" t="s">
        <v>717</v>
      </c>
      <c r="O45" s="368" t="s">
        <v>717</v>
      </c>
    </row>
    <row r="46" spans="2:15" ht="122.25" customHeight="1" thickBot="1">
      <c r="B46" s="206">
        <v>32</v>
      </c>
      <c r="C46" s="375" t="s">
        <v>75</v>
      </c>
      <c r="D46" s="375" t="s">
        <v>75</v>
      </c>
      <c r="E46" s="375" t="s">
        <v>75</v>
      </c>
      <c r="F46" s="375" t="s">
        <v>75</v>
      </c>
      <c r="G46" s="375" t="s">
        <v>75</v>
      </c>
      <c r="H46" s="375" t="s">
        <v>75</v>
      </c>
      <c r="I46" s="375" t="s">
        <v>75</v>
      </c>
      <c r="J46" s="375" t="s">
        <v>75</v>
      </c>
      <c r="K46" s="369" t="s">
        <v>718</v>
      </c>
      <c r="L46" s="369" t="s">
        <v>718</v>
      </c>
      <c r="M46" s="369" t="s">
        <v>718</v>
      </c>
      <c r="N46" s="369" t="s">
        <v>718</v>
      </c>
      <c r="O46" s="370" t="s">
        <v>718</v>
      </c>
    </row>
  </sheetData>
  <mergeCells count="76">
    <mergeCell ref="C44:J44"/>
    <mergeCell ref="C45:J45"/>
    <mergeCell ref="C46:J46"/>
    <mergeCell ref="K39:O39"/>
    <mergeCell ref="K40:O40"/>
    <mergeCell ref="K41:O41"/>
    <mergeCell ref="K42:O42"/>
    <mergeCell ref="K43:O43"/>
    <mergeCell ref="K44:O44"/>
    <mergeCell ref="K45:O45"/>
    <mergeCell ref="K46:O46"/>
    <mergeCell ref="C39:J39"/>
    <mergeCell ref="C40:J40"/>
    <mergeCell ref="C41:J41"/>
    <mergeCell ref="C42:J42"/>
    <mergeCell ref="C43:J43"/>
    <mergeCell ref="C37:J37"/>
    <mergeCell ref="C38:J38"/>
    <mergeCell ref="K32:O32"/>
    <mergeCell ref="K33:O33"/>
    <mergeCell ref="K34:O34"/>
    <mergeCell ref="K35:O35"/>
    <mergeCell ref="K36:O36"/>
    <mergeCell ref="K37:O37"/>
    <mergeCell ref="K38:O38"/>
    <mergeCell ref="K31:O31"/>
    <mergeCell ref="C32:J32"/>
    <mergeCell ref="C33:J33"/>
    <mergeCell ref="C35:J35"/>
    <mergeCell ref="C36:J36"/>
    <mergeCell ref="C34:J34"/>
    <mergeCell ref="C21:J21"/>
    <mergeCell ref="C22:J22"/>
    <mergeCell ref="C23:J23"/>
    <mergeCell ref="C24:J24"/>
    <mergeCell ref="M2:O2"/>
    <mergeCell ref="C13:J13"/>
    <mergeCell ref="K13:O13"/>
    <mergeCell ref="B12:O12"/>
    <mergeCell ref="C3:J3"/>
    <mergeCell ref="C4:J4"/>
    <mergeCell ref="C5:J5"/>
    <mergeCell ref="C6:J6"/>
    <mergeCell ref="C7:J7"/>
    <mergeCell ref="C8:J8"/>
    <mergeCell ref="C9:J9"/>
    <mergeCell ref="B2:J2"/>
    <mergeCell ref="C16:J16"/>
    <mergeCell ref="C17:J17"/>
    <mergeCell ref="C18:J18"/>
    <mergeCell ref="C19:J19"/>
    <mergeCell ref="C20:J20"/>
    <mergeCell ref="C31:J31"/>
    <mergeCell ref="K25:O25"/>
    <mergeCell ref="K14:O14"/>
    <mergeCell ref="K15:O15"/>
    <mergeCell ref="K16:O16"/>
    <mergeCell ref="K17:O17"/>
    <mergeCell ref="K18:O18"/>
    <mergeCell ref="K19:O19"/>
    <mergeCell ref="K20:O20"/>
    <mergeCell ref="K21:O21"/>
    <mergeCell ref="K22:O22"/>
    <mergeCell ref="K23:O23"/>
    <mergeCell ref="K24:O24"/>
    <mergeCell ref="C25:J25"/>
    <mergeCell ref="C14:J14"/>
    <mergeCell ref="C15:J15"/>
    <mergeCell ref="K26:O26"/>
    <mergeCell ref="K27:O27"/>
    <mergeCell ref="K28:O28"/>
    <mergeCell ref="K29:O30"/>
    <mergeCell ref="C26:J26"/>
    <mergeCell ref="C27:J27"/>
    <mergeCell ref="C28:J28"/>
    <mergeCell ref="C29:J3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0"/>
  <sheetViews>
    <sheetView zoomScale="80" zoomScaleNormal="80" workbookViewId="0">
      <pane ySplit="1" topLeftCell="A2" activePane="bottomLeft" state="frozen"/>
      <selection pane="bottomLeft" activeCell="D19" sqref="D19"/>
    </sheetView>
  </sheetViews>
  <sheetFormatPr defaultColWidth="8.7109375" defaultRowHeight="14.25"/>
  <cols>
    <col min="1" max="1" width="9.85546875" style="5" customWidth="1"/>
    <col min="2" max="2" width="78.28515625" style="10" customWidth="1"/>
    <col min="3" max="3" width="27.42578125" style="10" customWidth="1"/>
    <col min="4" max="4" width="13.85546875" style="5" customWidth="1"/>
    <col min="5" max="5" width="14.85546875" style="68" customWidth="1"/>
    <col min="6" max="6" width="22.42578125" style="5" customWidth="1"/>
    <col min="7" max="7" width="40.7109375" style="5" customWidth="1"/>
    <col min="8" max="11" width="21.140625" style="10" customWidth="1"/>
    <col min="12" max="12" width="46.85546875" style="10" customWidth="1"/>
    <col min="13" max="16384" width="8.7109375" style="5"/>
  </cols>
  <sheetData>
    <row r="1" spans="1:12" s="44" customFormat="1" ht="40.5">
      <c r="A1" s="42" t="s">
        <v>0</v>
      </c>
      <c r="B1" s="43" t="s">
        <v>1</v>
      </c>
      <c r="C1" s="43" t="s">
        <v>2</v>
      </c>
      <c r="D1" s="42" t="s">
        <v>3</v>
      </c>
      <c r="E1" s="65" t="s">
        <v>4</v>
      </c>
      <c r="F1" s="42" t="s">
        <v>392</v>
      </c>
      <c r="G1" s="42" t="s">
        <v>87</v>
      </c>
      <c r="H1" s="43" t="s">
        <v>5</v>
      </c>
      <c r="I1" s="43" t="str">
        <f>'7. Modeleisen DUTO'!$E$1</f>
        <v>MoSCoW</v>
      </c>
      <c r="J1" s="43" t="s">
        <v>745</v>
      </c>
      <c r="K1" s="43" t="s">
        <v>757</v>
      </c>
      <c r="L1" s="43" t="s">
        <v>6</v>
      </c>
    </row>
    <row r="2" spans="1:12">
      <c r="A2" s="8"/>
      <c r="B2" s="9"/>
      <c r="C2" s="9"/>
      <c r="D2" s="8"/>
      <c r="E2" s="66"/>
      <c r="F2" s="8"/>
      <c r="G2" s="8"/>
      <c r="H2" s="9"/>
      <c r="I2" s="9"/>
      <c r="J2" s="9"/>
      <c r="K2" s="9"/>
      <c r="L2" s="9"/>
    </row>
    <row r="3" spans="1:12" s="45" customFormat="1" ht="12" thickBot="1">
      <c r="A3" s="377" t="s">
        <v>726</v>
      </c>
      <c r="B3" s="377"/>
      <c r="C3" s="208"/>
      <c r="D3" s="208"/>
      <c r="E3" s="209"/>
      <c r="F3" s="208"/>
      <c r="G3" s="208"/>
      <c r="H3" s="208"/>
      <c r="I3" s="208"/>
      <c r="J3" s="208"/>
      <c r="K3" s="208"/>
      <c r="L3" s="208"/>
    </row>
    <row r="4" spans="1:12" s="45" customFormat="1" ht="23.25" thickBot="1">
      <c r="A4" s="46">
        <v>1</v>
      </c>
      <c r="B4" s="47" t="s">
        <v>7</v>
      </c>
      <c r="C4" s="47" t="s">
        <v>83</v>
      </c>
      <c r="D4" s="182" t="s">
        <v>8</v>
      </c>
      <c r="E4" s="184">
        <v>1</v>
      </c>
      <c r="F4" s="187" t="s">
        <v>393</v>
      </c>
      <c r="G4" s="46"/>
      <c r="H4" s="175" t="s">
        <v>9</v>
      </c>
      <c r="I4" s="177" t="s">
        <v>719</v>
      </c>
      <c r="J4" s="176">
        <f>IF(TRIM(I4)="Must",1,IF(TRIM(I4)="Should",0.75,IF(TRIM(I4)="Could",0.5,IF(TRIM(I4)="Would",0.25,IF(TRIM(I4)="NVT",0,"")))))</f>
        <v>1</v>
      </c>
      <c r="K4" s="76">
        <f>E4*J4</f>
        <v>1</v>
      </c>
      <c r="L4" s="47"/>
    </row>
    <row r="5" spans="1:12" s="45" customFormat="1" ht="23.25" thickBot="1">
      <c r="A5" s="46">
        <v>2</v>
      </c>
      <c r="B5" s="47" t="s">
        <v>10</v>
      </c>
      <c r="C5" s="47" t="s">
        <v>83</v>
      </c>
      <c r="D5" s="182" t="s">
        <v>8</v>
      </c>
      <c r="E5" s="184">
        <v>1</v>
      </c>
      <c r="F5" s="187" t="s">
        <v>393</v>
      </c>
      <c r="G5" s="46"/>
      <c r="H5" s="175" t="s">
        <v>11</v>
      </c>
      <c r="I5" s="178" t="s">
        <v>719</v>
      </c>
      <c r="J5" s="176">
        <f>IF(TRIM(I5)="Must",1,IF(TRIM(I5)="Should",0.75,IF(TRIM(I5)="Could",0.5,IF(TRIM(I5)="Would",0.25,0))))</f>
        <v>1</v>
      </c>
      <c r="K5" s="76">
        <f>E5*J5</f>
        <v>1</v>
      </c>
      <c r="L5" s="47"/>
    </row>
    <row r="6" spans="1:12" s="45" customFormat="1" ht="15.75" thickBot="1">
      <c r="A6" s="46">
        <v>3</v>
      </c>
      <c r="B6" s="47" t="s">
        <v>12</v>
      </c>
      <c r="C6" s="47" t="s">
        <v>83</v>
      </c>
      <c r="D6" s="182" t="s">
        <v>8</v>
      </c>
      <c r="E6" s="184">
        <v>1</v>
      </c>
      <c r="F6" s="187" t="s">
        <v>393</v>
      </c>
      <c r="G6" s="46"/>
      <c r="H6" s="175" t="s">
        <v>13</v>
      </c>
      <c r="I6" s="178" t="s">
        <v>719</v>
      </c>
      <c r="J6" s="176">
        <f>IF(TRIM(I6)="Must",1,IF(TRIM(I6)="Should",0.75,IF(TRIM(I6)="Could",0.5,IF(TRIM(I6)="Would",0.25,0))))</f>
        <v>1</v>
      </c>
      <c r="K6" s="76">
        <f>E6*J6</f>
        <v>1</v>
      </c>
      <c r="L6" s="47"/>
    </row>
    <row r="7" spans="1:12" s="45" customFormat="1" ht="15.75" thickBot="1">
      <c r="A7" s="46">
        <v>4</v>
      </c>
      <c r="B7" s="47" t="s">
        <v>14</v>
      </c>
      <c r="C7" s="47" t="s">
        <v>83</v>
      </c>
      <c r="D7" s="182" t="s">
        <v>8</v>
      </c>
      <c r="E7" s="184">
        <v>1</v>
      </c>
      <c r="F7" s="187" t="s">
        <v>394</v>
      </c>
      <c r="G7" s="46" t="s">
        <v>263</v>
      </c>
      <c r="H7" s="175" t="s">
        <v>15</v>
      </c>
      <c r="I7" s="179" t="s">
        <v>719</v>
      </c>
      <c r="J7" s="176">
        <f>IF(TRIM(I7)="Must",1,IF(TRIM(I7)="Should",0.75,IF(TRIM(I7)="Could",0.5,IF(TRIM(I7)="Would",0.25,0))))</f>
        <v>1</v>
      </c>
      <c r="K7" s="76">
        <f>E7*J7</f>
        <v>1</v>
      </c>
      <c r="L7" s="47"/>
    </row>
    <row r="8" spans="1:12" s="45" customFormat="1" ht="11.25">
      <c r="A8" s="48"/>
      <c r="B8" s="49"/>
      <c r="C8" s="49"/>
      <c r="D8" s="48"/>
      <c r="E8" s="67"/>
      <c r="F8" s="48"/>
      <c r="G8" s="48"/>
      <c r="H8" s="49"/>
      <c r="I8" s="49"/>
      <c r="J8" s="49"/>
      <c r="K8" s="49"/>
      <c r="L8" s="49"/>
    </row>
    <row r="9" spans="1:12" s="45" customFormat="1" ht="12" thickBot="1">
      <c r="A9" s="377" t="s">
        <v>727</v>
      </c>
      <c r="B9" s="377"/>
      <c r="C9" s="210"/>
      <c r="D9" s="210"/>
      <c r="E9" s="211"/>
      <c r="F9" s="210"/>
      <c r="G9" s="210"/>
      <c r="H9" s="210"/>
      <c r="I9" s="210"/>
      <c r="J9" s="210"/>
      <c r="K9" s="210"/>
      <c r="L9" s="210"/>
    </row>
    <row r="10" spans="1:12" s="45" customFormat="1" ht="15.75" thickBot="1">
      <c r="A10" s="46">
        <v>5</v>
      </c>
      <c r="B10" s="47" t="s">
        <v>16</v>
      </c>
      <c r="C10" s="47" t="s">
        <v>17</v>
      </c>
      <c r="D10" s="182" t="s">
        <v>18</v>
      </c>
      <c r="E10" s="184">
        <v>1</v>
      </c>
      <c r="F10" s="187" t="s">
        <v>395</v>
      </c>
      <c r="G10" s="46" t="s">
        <v>411</v>
      </c>
      <c r="H10" s="175" t="s">
        <v>19</v>
      </c>
      <c r="I10" s="177" t="s">
        <v>719</v>
      </c>
      <c r="J10" s="176">
        <f>IF(TRIM(I10)="Must",1,IF(TRIM(I10)="Should",0.75,IF(TRIM(I10)="Could",0.5,IF(TRIM(I10)="Would",0.25,0))))</f>
        <v>1</v>
      </c>
      <c r="K10" s="76">
        <f>E10*J10</f>
        <v>1</v>
      </c>
      <c r="L10" s="47"/>
    </row>
    <row r="11" spans="1:12" s="45" customFormat="1" ht="15.75" thickBot="1">
      <c r="A11" s="46">
        <v>6</v>
      </c>
      <c r="B11" s="47" t="s">
        <v>20</v>
      </c>
      <c r="C11" s="47" t="s">
        <v>17</v>
      </c>
      <c r="D11" s="182" t="s">
        <v>21</v>
      </c>
      <c r="E11" s="184">
        <v>1</v>
      </c>
      <c r="F11" s="187" t="s">
        <v>393</v>
      </c>
      <c r="G11" s="50" t="s">
        <v>97</v>
      </c>
      <c r="H11" s="175" t="s">
        <v>22</v>
      </c>
      <c r="I11" s="178" t="s">
        <v>719</v>
      </c>
      <c r="J11" s="176">
        <f>IF(TRIM(I11)="Must",1,IF(TRIM(I11)="Should",0.75,IF(TRIM(I11)="Could",0.5,IF(TRIM(I11)="Would",0.25,0))))</f>
        <v>1</v>
      </c>
      <c r="K11" s="76">
        <f>E11*J11</f>
        <v>1</v>
      </c>
      <c r="L11" s="47"/>
    </row>
    <row r="12" spans="1:12" s="45" customFormat="1" ht="15.75" thickBot="1">
      <c r="A12" s="46">
        <v>7</v>
      </c>
      <c r="B12" s="47" t="s">
        <v>23</v>
      </c>
      <c r="C12" s="47" t="s">
        <v>17</v>
      </c>
      <c r="D12" s="182" t="s">
        <v>21</v>
      </c>
      <c r="E12" s="184">
        <v>1</v>
      </c>
      <c r="F12" s="187" t="s">
        <v>396</v>
      </c>
      <c r="G12" s="50" t="s">
        <v>97</v>
      </c>
      <c r="H12" s="175" t="s">
        <v>24</v>
      </c>
      <c r="I12" s="178" t="s">
        <v>719</v>
      </c>
      <c r="J12" s="176">
        <f>IF(TRIM(I12)="Must",1,IF(TRIM(I12)="Should",0.75,IF(TRIM(I12)="Could",0.5,IF(TRIM(I12)="Would",0.25,0))))</f>
        <v>1</v>
      </c>
      <c r="K12" s="76">
        <f>E12*J12</f>
        <v>1</v>
      </c>
      <c r="L12" s="47"/>
    </row>
    <row r="13" spans="1:12" s="45" customFormat="1" ht="23.25" thickBot="1">
      <c r="A13" s="46">
        <v>8</v>
      </c>
      <c r="B13" s="47" t="s">
        <v>25</v>
      </c>
      <c r="C13" s="47" t="s">
        <v>17</v>
      </c>
      <c r="D13" s="182" t="s">
        <v>21</v>
      </c>
      <c r="E13" s="184">
        <v>1</v>
      </c>
      <c r="F13" s="187" t="s">
        <v>396</v>
      </c>
      <c r="G13" s="50" t="s">
        <v>97</v>
      </c>
      <c r="H13" s="175" t="s">
        <v>26</v>
      </c>
      <c r="I13" s="179" t="s">
        <v>719</v>
      </c>
      <c r="J13" s="176">
        <f>IF(TRIM(I13)="Must",1,IF(TRIM(I13)="Should",0.75,IF(TRIM(I13)="Could",0.5,IF(TRIM(I13)="Would",0.25,0))))</f>
        <v>1</v>
      </c>
      <c r="K13" s="76">
        <f>E13*J13</f>
        <v>1</v>
      </c>
      <c r="L13" s="47"/>
    </row>
    <row r="14" spans="1:12" s="45" customFormat="1" ht="11.25">
      <c r="A14" s="48"/>
      <c r="B14" s="49"/>
      <c r="C14" s="49"/>
      <c r="D14" s="48"/>
      <c r="E14" s="67"/>
      <c r="F14" s="48"/>
      <c r="G14" s="48"/>
      <c r="H14" s="49"/>
      <c r="I14" s="49"/>
      <c r="J14" s="49"/>
      <c r="K14" s="49"/>
      <c r="L14" s="49"/>
    </row>
    <row r="15" spans="1:12" s="45" customFormat="1" ht="12" thickBot="1">
      <c r="A15" s="377" t="s">
        <v>728</v>
      </c>
      <c r="B15" s="377"/>
      <c r="C15" s="210"/>
      <c r="D15" s="210"/>
      <c r="E15" s="211"/>
      <c r="F15" s="210"/>
      <c r="G15" s="210"/>
      <c r="H15" s="210"/>
      <c r="I15" s="210"/>
      <c r="J15" s="210"/>
      <c r="K15" s="210"/>
      <c r="L15" s="210"/>
    </row>
    <row r="16" spans="1:12" s="45" customFormat="1" ht="15">
      <c r="A16" s="46">
        <v>9</v>
      </c>
      <c r="B16" s="47" t="s">
        <v>27</v>
      </c>
      <c r="C16" s="47" t="s">
        <v>28</v>
      </c>
      <c r="D16" s="182" t="s">
        <v>21</v>
      </c>
      <c r="E16" s="184">
        <v>1</v>
      </c>
      <c r="F16" s="187" t="s">
        <v>397</v>
      </c>
      <c r="G16" s="51" t="s">
        <v>97</v>
      </c>
      <c r="H16" s="175" t="s">
        <v>29</v>
      </c>
      <c r="I16" s="177" t="s">
        <v>719</v>
      </c>
      <c r="J16" s="176">
        <f>IF(TRIM(I16)="Must",1,IF(TRIM(I16)="Should",0.75,IF(TRIM(I16)="Could",0.5,IF(TRIM(I16)="Would",0.25,0))))</f>
        <v>1</v>
      </c>
      <c r="K16" s="76">
        <f>E16*J16</f>
        <v>1</v>
      </c>
      <c r="L16" s="47"/>
    </row>
    <row r="17" spans="1:12" s="45" customFormat="1" ht="30" customHeight="1">
      <c r="A17" s="46">
        <v>10</v>
      </c>
      <c r="B17" s="47" t="s">
        <v>30</v>
      </c>
      <c r="C17" s="47" t="s">
        <v>28</v>
      </c>
      <c r="D17" s="182" t="s">
        <v>21</v>
      </c>
      <c r="E17" s="185">
        <v>1</v>
      </c>
      <c r="F17" s="187" t="s">
        <v>393</v>
      </c>
      <c r="G17" s="51" t="s">
        <v>97</v>
      </c>
      <c r="H17" s="175" t="s">
        <v>31</v>
      </c>
      <c r="I17" s="178" t="s">
        <v>719</v>
      </c>
      <c r="J17" s="176">
        <f>IF(TRIM(I17)="Must",1,IF(TRIM(I17)="Should",0.75,IF(TRIM(I17)="Could",0.5,IF(TRIM(I17)="Would",0.25,0))))</f>
        <v>1</v>
      </c>
      <c r="K17" s="76">
        <f>E17*J17</f>
        <v>1</v>
      </c>
      <c r="L17" s="47"/>
    </row>
    <row r="18" spans="1:12" s="45" customFormat="1" ht="15.75" thickBot="1">
      <c r="A18" s="46">
        <v>11</v>
      </c>
      <c r="B18" s="47" t="s">
        <v>32</v>
      </c>
      <c r="C18" s="47" t="s">
        <v>28</v>
      </c>
      <c r="D18" s="182" t="s">
        <v>18</v>
      </c>
      <c r="E18" s="186">
        <v>1</v>
      </c>
      <c r="F18" s="187" t="s">
        <v>393</v>
      </c>
      <c r="G18" s="51" t="s">
        <v>97</v>
      </c>
      <c r="H18" s="175" t="s">
        <v>33</v>
      </c>
      <c r="I18" s="179" t="s">
        <v>719</v>
      </c>
      <c r="J18" s="176">
        <f>IF(TRIM(I18)="Must",1,IF(TRIM(I18)="Should",0.75,IF(TRIM(I18)="Could",0.5,IF(TRIM(I18)="Would",0.25,0))))</f>
        <v>1</v>
      </c>
      <c r="K18" s="76">
        <f>E18*J18</f>
        <v>1</v>
      </c>
      <c r="L18" s="47"/>
    </row>
    <row r="19" spans="1:12" s="45" customFormat="1" ht="11.25">
      <c r="A19" s="48"/>
      <c r="B19" s="49"/>
      <c r="C19" s="49"/>
      <c r="D19" s="48"/>
      <c r="E19" s="67"/>
      <c r="F19" s="48"/>
      <c r="G19" s="48"/>
      <c r="H19" s="49"/>
      <c r="I19" s="49"/>
      <c r="J19" s="49"/>
      <c r="K19" s="49"/>
      <c r="L19" s="49"/>
    </row>
    <row r="20" spans="1:12" s="45" customFormat="1" ht="27.95" customHeight="1" thickBot="1">
      <c r="A20" s="376" t="s">
        <v>729</v>
      </c>
      <c r="B20" s="376"/>
      <c r="C20" s="210"/>
      <c r="D20" s="210"/>
      <c r="E20" s="211"/>
      <c r="F20" s="210"/>
      <c r="G20" s="210"/>
      <c r="H20" s="210"/>
      <c r="I20" s="210"/>
      <c r="J20" s="210"/>
      <c r="K20" s="210"/>
      <c r="L20" s="210"/>
    </row>
    <row r="21" spans="1:12" s="45" customFormat="1" ht="15">
      <c r="A21" s="46">
        <v>12</v>
      </c>
      <c r="B21" s="47" t="s">
        <v>34</v>
      </c>
      <c r="C21" s="47" t="s">
        <v>35</v>
      </c>
      <c r="D21" s="182" t="s">
        <v>36</v>
      </c>
      <c r="E21" s="184">
        <v>1</v>
      </c>
      <c r="F21" s="187" t="s">
        <v>393</v>
      </c>
      <c r="G21" s="46" t="s">
        <v>211</v>
      </c>
      <c r="H21" s="175" t="s">
        <v>37</v>
      </c>
      <c r="I21" s="177" t="s">
        <v>719</v>
      </c>
      <c r="J21" s="176">
        <f t="shared" ref="J21:J28" si="0">IF(TRIM(I21)="Must",1,IF(TRIM(I21)="Should",0.75,IF(TRIM(I21)="Could",0.5,IF(TRIM(I21)="Would",0.25,0))))</f>
        <v>1</v>
      </c>
      <c r="K21" s="76">
        <f t="shared" ref="K21:K28" si="1">E21*J21</f>
        <v>1</v>
      </c>
      <c r="L21" s="47"/>
    </row>
    <row r="22" spans="1:12" s="45" customFormat="1" ht="15">
      <c r="A22" s="46">
        <v>13</v>
      </c>
      <c r="B22" s="47" t="s">
        <v>38</v>
      </c>
      <c r="C22" s="47" t="s">
        <v>35</v>
      </c>
      <c r="D22" s="182" t="s">
        <v>36</v>
      </c>
      <c r="E22" s="185">
        <v>1</v>
      </c>
      <c r="F22" s="187" t="s">
        <v>393</v>
      </c>
      <c r="G22" s="46" t="s">
        <v>137</v>
      </c>
      <c r="H22" s="175" t="s">
        <v>39</v>
      </c>
      <c r="I22" s="178" t="s">
        <v>719</v>
      </c>
      <c r="J22" s="176">
        <f t="shared" si="0"/>
        <v>1</v>
      </c>
      <c r="K22" s="76">
        <f t="shared" si="1"/>
        <v>1</v>
      </c>
      <c r="L22" s="52"/>
    </row>
    <row r="23" spans="1:12" s="45" customFormat="1" ht="15">
      <c r="A23" s="46">
        <v>14</v>
      </c>
      <c r="B23" s="47" t="s">
        <v>40</v>
      </c>
      <c r="C23" s="47" t="s">
        <v>35</v>
      </c>
      <c r="D23" s="182" t="s">
        <v>21</v>
      </c>
      <c r="E23" s="185">
        <v>1</v>
      </c>
      <c r="F23" s="187" t="s">
        <v>396</v>
      </c>
      <c r="G23" s="46" t="s">
        <v>97</v>
      </c>
      <c r="H23" s="175" t="s">
        <v>41</v>
      </c>
      <c r="I23" s="178" t="s">
        <v>719</v>
      </c>
      <c r="J23" s="176">
        <f t="shared" si="0"/>
        <v>1</v>
      </c>
      <c r="K23" s="76">
        <f t="shared" si="1"/>
        <v>1</v>
      </c>
      <c r="L23" s="50"/>
    </row>
    <row r="24" spans="1:12" s="45" customFormat="1" ht="22.5">
      <c r="A24" s="46">
        <v>15</v>
      </c>
      <c r="B24" s="47" t="s">
        <v>42</v>
      </c>
      <c r="C24" s="47" t="s">
        <v>35</v>
      </c>
      <c r="D24" s="182" t="s">
        <v>36</v>
      </c>
      <c r="E24" s="185">
        <v>1</v>
      </c>
      <c r="F24" s="187" t="s">
        <v>394</v>
      </c>
      <c r="G24" s="46" t="s">
        <v>405</v>
      </c>
      <c r="H24" s="175" t="s">
        <v>43</v>
      </c>
      <c r="I24" s="178" t="s">
        <v>719</v>
      </c>
      <c r="J24" s="176">
        <f t="shared" si="0"/>
        <v>1</v>
      </c>
      <c r="K24" s="76">
        <f t="shared" si="1"/>
        <v>1</v>
      </c>
      <c r="L24" s="47"/>
    </row>
    <row r="25" spans="1:12" s="45" customFormat="1" ht="15">
      <c r="A25" s="46">
        <v>16</v>
      </c>
      <c r="B25" s="47" t="s">
        <v>44</v>
      </c>
      <c r="C25" s="47" t="s">
        <v>35</v>
      </c>
      <c r="D25" s="182" t="s">
        <v>36</v>
      </c>
      <c r="E25" s="185">
        <v>1</v>
      </c>
      <c r="F25" s="187" t="s">
        <v>393</v>
      </c>
      <c r="G25" s="46" t="s">
        <v>97</v>
      </c>
      <c r="H25" s="175" t="s">
        <v>45</v>
      </c>
      <c r="I25" s="178" t="s">
        <v>719</v>
      </c>
      <c r="J25" s="176">
        <f t="shared" si="0"/>
        <v>1</v>
      </c>
      <c r="K25" s="76">
        <f t="shared" si="1"/>
        <v>1</v>
      </c>
      <c r="L25" s="47"/>
    </row>
    <row r="26" spans="1:12" s="45" customFormat="1" ht="15">
      <c r="A26" s="46">
        <v>17</v>
      </c>
      <c r="B26" s="47" t="s">
        <v>46</v>
      </c>
      <c r="C26" s="47" t="s">
        <v>35</v>
      </c>
      <c r="D26" s="182" t="s">
        <v>47</v>
      </c>
      <c r="E26" s="185">
        <v>1</v>
      </c>
      <c r="F26" s="187" t="s">
        <v>395</v>
      </c>
      <c r="G26" s="46"/>
      <c r="H26" s="175" t="s">
        <v>48</v>
      </c>
      <c r="I26" s="178"/>
      <c r="J26" s="176">
        <f t="shared" si="0"/>
        <v>0</v>
      </c>
      <c r="K26" s="76">
        <f t="shared" si="1"/>
        <v>0</v>
      </c>
      <c r="L26" s="47"/>
    </row>
    <row r="27" spans="1:12" s="45" customFormat="1" ht="22.5">
      <c r="A27" s="46">
        <v>18</v>
      </c>
      <c r="B27" s="47" t="s">
        <v>398</v>
      </c>
      <c r="C27" s="47" t="s">
        <v>35</v>
      </c>
      <c r="D27" s="182" t="s">
        <v>36</v>
      </c>
      <c r="E27" s="185">
        <v>1</v>
      </c>
      <c r="F27" s="187" t="s">
        <v>400</v>
      </c>
      <c r="G27" s="46" t="s">
        <v>406</v>
      </c>
      <c r="H27" s="175" t="s">
        <v>401</v>
      </c>
      <c r="I27" s="178" t="s">
        <v>736</v>
      </c>
      <c r="J27" s="176">
        <f t="shared" si="0"/>
        <v>0.5</v>
      </c>
      <c r="K27" s="76">
        <f t="shared" si="1"/>
        <v>0.5</v>
      </c>
      <c r="L27" s="52"/>
    </row>
    <row r="28" spans="1:12" s="45" customFormat="1" ht="23.25" thickBot="1">
      <c r="A28" s="46">
        <v>19</v>
      </c>
      <c r="B28" s="47" t="s">
        <v>399</v>
      </c>
      <c r="C28" s="47" t="s">
        <v>35</v>
      </c>
      <c r="D28" s="182" t="s">
        <v>36</v>
      </c>
      <c r="E28" s="186">
        <v>1</v>
      </c>
      <c r="F28" s="187" t="s">
        <v>400</v>
      </c>
      <c r="G28" s="46" t="s">
        <v>137</v>
      </c>
      <c r="H28" s="175" t="s">
        <v>402</v>
      </c>
      <c r="I28" s="179" t="s">
        <v>719</v>
      </c>
      <c r="J28" s="176">
        <f t="shared" si="0"/>
        <v>1</v>
      </c>
      <c r="K28" s="76">
        <f t="shared" si="1"/>
        <v>1</v>
      </c>
      <c r="L28" s="47"/>
    </row>
    <row r="29" spans="1:12" s="45" customFormat="1" ht="11.25">
      <c r="A29" s="48"/>
      <c r="B29" s="49"/>
      <c r="C29" s="49"/>
      <c r="D29" s="48"/>
      <c r="E29" s="67"/>
      <c r="F29" s="48"/>
      <c r="G29" s="48"/>
      <c r="H29" s="49"/>
      <c r="I29" s="49"/>
      <c r="J29" s="49"/>
      <c r="K29" s="49"/>
      <c r="L29" s="49"/>
    </row>
    <row r="30" spans="1:12" s="45" customFormat="1" ht="12" thickBot="1">
      <c r="A30" s="377" t="s">
        <v>730</v>
      </c>
      <c r="B30" s="377"/>
      <c r="C30" s="210"/>
      <c r="D30" s="210"/>
      <c r="E30" s="211"/>
      <c r="F30" s="210"/>
      <c r="G30" s="210"/>
      <c r="H30" s="210"/>
      <c r="I30" s="210"/>
      <c r="J30" s="210"/>
      <c r="K30" s="210"/>
      <c r="L30" s="210"/>
    </row>
    <row r="31" spans="1:12" s="45" customFormat="1" ht="22.5">
      <c r="A31" s="46">
        <v>20</v>
      </c>
      <c r="B31" s="47" t="s">
        <v>49</v>
      </c>
      <c r="C31" s="47" t="s">
        <v>50</v>
      </c>
      <c r="D31" s="182" t="s">
        <v>47</v>
      </c>
      <c r="E31" s="184">
        <v>1</v>
      </c>
      <c r="F31" s="187" t="s">
        <v>395</v>
      </c>
      <c r="G31" s="46" t="s">
        <v>133</v>
      </c>
      <c r="H31" s="175" t="s">
        <v>679</v>
      </c>
      <c r="I31" s="177" t="s">
        <v>719</v>
      </c>
      <c r="J31" s="176">
        <f>IF(TRIM(I31)="Must",1,IF(TRIM(I31)="Should",0.75,IF(TRIM(I31)="Could",0.5,IF(TRIM(I31)="Would",0.25,0))))</f>
        <v>1</v>
      </c>
      <c r="K31" s="76">
        <f>E31*J31</f>
        <v>1</v>
      </c>
      <c r="L31" s="47"/>
    </row>
    <row r="32" spans="1:12" s="45" customFormat="1" ht="15">
      <c r="A32" s="46">
        <v>21</v>
      </c>
      <c r="B32" s="47" t="s">
        <v>51</v>
      </c>
      <c r="C32" s="47" t="s">
        <v>50</v>
      </c>
      <c r="D32" s="182" t="s">
        <v>47</v>
      </c>
      <c r="E32" s="185">
        <v>1</v>
      </c>
      <c r="F32" s="187" t="s">
        <v>393</v>
      </c>
      <c r="G32" s="46" t="s">
        <v>407</v>
      </c>
      <c r="H32" s="175" t="s">
        <v>52</v>
      </c>
      <c r="I32" s="178" t="s">
        <v>890</v>
      </c>
      <c r="J32" s="176">
        <f>IF(TRIM(I32)="Must",1,IF(TRIM(I32)="Should",0.75,IF(TRIM(I32)="Could",0.5,IF(TRIM(I32)="Would",0.25,0))))</f>
        <v>0</v>
      </c>
      <c r="K32" s="76">
        <f>E32*J32</f>
        <v>0</v>
      </c>
      <c r="L32" s="47"/>
    </row>
    <row r="33" spans="1:12" s="45" customFormat="1" ht="15.75" thickBot="1">
      <c r="A33" s="46">
        <v>22</v>
      </c>
      <c r="B33" s="47" t="s">
        <v>53</v>
      </c>
      <c r="C33" s="47" t="s">
        <v>50</v>
      </c>
      <c r="D33" s="182" t="s">
        <v>47</v>
      </c>
      <c r="E33" s="186">
        <v>1</v>
      </c>
      <c r="F33" s="187" t="s">
        <v>397</v>
      </c>
      <c r="G33" s="46" t="s">
        <v>183</v>
      </c>
      <c r="H33" s="175" t="s">
        <v>54</v>
      </c>
      <c r="I33" s="179" t="s">
        <v>719</v>
      </c>
      <c r="J33" s="176">
        <f>IF(TRIM(I33)="Must",1,IF(TRIM(I33)="Should",0.75,IF(TRIM(I33)="Could",0.5,IF(TRIM(I33)="Would",0.25,0))))</f>
        <v>1</v>
      </c>
      <c r="K33" s="76">
        <f>E33*J33</f>
        <v>1</v>
      </c>
      <c r="L33" s="47"/>
    </row>
    <row r="34" spans="1:12" s="45" customFormat="1" ht="11.25">
      <c r="A34" s="48"/>
      <c r="B34" s="49"/>
      <c r="C34" s="49"/>
      <c r="D34" s="48"/>
      <c r="E34" s="67"/>
      <c r="F34" s="48"/>
      <c r="G34" s="48"/>
      <c r="H34" s="49"/>
      <c r="I34" s="49"/>
      <c r="J34" s="49"/>
      <c r="K34" s="49"/>
      <c r="L34" s="49"/>
    </row>
    <row r="35" spans="1:12" s="45" customFormat="1" ht="12" thickBot="1">
      <c r="A35" s="377" t="s">
        <v>731</v>
      </c>
      <c r="B35" s="377"/>
      <c r="C35" s="210"/>
      <c r="D35" s="210"/>
      <c r="E35" s="211"/>
      <c r="F35" s="210"/>
      <c r="G35" s="210"/>
      <c r="H35" s="210"/>
      <c r="I35" s="210"/>
      <c r="J35" s="210"/>
      <c r="K35" s="210"/>
      <c r="L35" s="210"/>
    </row>
    <row r="36" spans="1:12" s="45" customFormat="1" ht="15">
      <c r="A36" s="46">
        <v>23</v>
      </c>
      <c r="B36" s="47" t="s">
        <v>55</v>
      </c>
      <c r="C36" s="47" t="s">
        <v>56</v>
      </c>
      <c r="D36" s="182" t="s">
        <v>47</v>
      </c>
      <c r="E36" s="184">
        <v>1</v>
      </c>
      <c r="F36" s="187" t="s">
        <v>395</v>
      </c>
      <c r="G36" s="46" t="s">
        <v>296</v>
      </c>
      <c r="H36" s="175" t="s">
        <v>57</v>
      </c>
      <c r="I36" s="177" t="s">
        <v>719</v>
      </c>
      <c r="J36" s="176">
        <f>IF(TRIM(I36)="Must",1,IF(TRIM(I36)="Should",0.75,IF(TRIM(I36)="Could",0.5,IF(TRIM(I36)="Would",0.25,0))))</f>
        <v>1</v>
      </c>
      <c r="K36" s="76">
        <f>E36*J36</f>
        <v>1</v>
      </c>
      <c r="L36" s="47"/>
    </row>
    <row r="37" spans="1:12" s="45" customFormat="1" ht="15">
      <c r="A37" s="46">
        <v>24</v>
      </c>
      <c r="B37" s="47" t="s">
        <v>58</v>
      </c>
      <c r="C37" s="47" t="s">
        <v>56</v>
      </c>
      <c r="D37" s="182" t="s">
        <v>18</v>
      </c>
      <c r="E37" s="185">
        <v>1</v>
      </c>
      <c r="F37" s="187" t="s">
        <v>394</v>
      </c>
      <c r="G37" s="46" t="s">
        <v>263</v>
      </c>
      <c r="H37" s="175" t="s">
        <v>59</v>
      </c>
      <c r="I37" s="178" t="s">
        <v>735</v>
      </c>
      <c r="J37" s="176">
        <f>IF(TRIM(I37)="Must",1,IF(TRIM(I37)="Should",0.75,IF(TRIM(I37)="Could",0.5,IF(TRIM(I37)="Would",0.25,0))))</f>
        <v>0.75</v>
      </c>
      <c r="K37" s="76">
        <f>E37*J37</f>
        <v>0.75</v>
      </c>
      <c r="L37" s="47"/>
    </row>
    <row r="38" spans="1:12" s="45" customFormat="1" ht="23.25" thickBot="1">
      <c r="A38" s="46">
        <v>25</v>
      </c>
      <c r="B38" s="47" t="s">
        <v>60</v>
      </c>
      <c r="C38" s="47" t="s">
        <v>56</v>
      </c>
      <c r="D38" s="182" t="s">
        <v>18</v>
      </c>
      <c r="E38" s="186">
        <v>1</v>
      </c>
      <c r="F38" s="187" t="s">
        <v>393</v>
      </c>
      <c r="G38" s="46" t="s">
        <v>408</v>
      </c>
      <c r="H38" s="175" t="s">
        <v>61</v>
      </c>
      <c r="I38" s="179" t="s">
        <v>719</v>
      </c>
      <c r="J38" s="176">
        <f>IF(TRIM(I38)="Must",1,IF(TRIM(I38)="Should",0.75,IF(TRIM(I38)="Could",0.5,IF(TRIM(I38)="Would",0.25,0))))</f>
        <v>1</v>
      </c>
      <c r="K38" s="76">
        <f>E38*J38</f>
        <v>1</v>
      </c>
      <c r="L38" s="47"/>
    </row>
    <row r="39" spans="1:12" s="45" customFormat="1" ht="11.25">
      <c r="A39" s="48"/>
      <c r="B39" s="49"/>
      <c r="C39" s="49"/>
      <c r="D39" s="48"/>
      <c r="E39" s="67"/>
      <c r="F39" s="48"/>
      <c r="G39" s="48"/>
      <c r="H39" s="49"/>
      <c r="I39" s="49"/>
      <c r="J39" s="49"/>
      <c r="K39" s="49"/>
      <c r="L39" s="49"/>
    </row>
    <row r="40" spans="1:12" s="45" customFormat="1" ht="12" thickBot="1">
      <c r="A40" s="377" t="s">
        <v>732</v>
      </c>
      <c r="B40" s="377"/>
      <c r="C40" s="210"/>
      <c r="D40" s="210"/>
      <c r="E40" s="211"/>
      <c r="F40" s="210"/>
      <c r="G40" s="210"/>
      <c r="H40" s="210"/>
      <c r="I40" s="210"/>
      <c r="J40" s="210"/>
      <c r="K40" s="210"/>
      <c r="L40" s="210"/>
    </row>
    <row r="41" spans="1:12" s="45" customFormat="1" ht="22.5">
      <c r="A41" s="46">
        <v>26</v>
      </c>
      <c r="B41" s="47" t="s">
        <v>62</v>
      </c>
      <c r="C41" s="47" t="s">
        <v>63</v>
      </c>
      <c r="D41" s="182" t="s">
        <v>18</v>
      </c>
      <c r="E41" s="184">
        <v>1</v>
      </c>
      <c r="F41" s="187" t="s">
        <v>393</v>
      </c>
      <c r="G41" s="46" t="s">
        <v>409</v>
      </c>
      <c r="H41" s="175" t="s">
        <v>64</v>
      </c>
      <c r="I41" s="177" t="s">
        <v>719</v>
      </c>
      <c r="J41" s="176">
        <f>IF(TRIM(I41)="Must",1,IF(TRIM(I41)="Should",0.75,IF(TRIM(I41)="Could",0.5,IF(TRIM(I41)="Would",0.25,0))))</f>
        <v>1</v>
      </c>
      <c r="K41" s="76">
        <f>E41*J41</f>
        <v>1</v>
      </c>
      <c r="L41" s="47"/>
    </row>
    <row r="42" spans="1:12" s="45" customFormat="1" ht="23.25" thickBot="1">
      <c r="A42" s="46">
        <v>27</v>
      </c>
      <c r="B42" s="47" t="s">
        <v>65</v>
      </c>
      <c r="C42" s="47" t="s">
        <v>63</v>
      </c>
      <c r="D42" s="182" t="s">
        <v>18</v>
      </c>
      <c r="E42" s="186">
        <v>1</v>
      </c>
      <c r="F42" s="187" t="s">
        <v>394</v>
      </c>
      <c r="G42" s="46" t="s">
        <v>137</v>
      </c>
      <c r="H42" s="175" t="s">
        <v>66</v>
      </c>
      <c r="I42" s="179" t="s">
        <v>719</v>
      </c>
      <c r="J42" s="176">
        <f>IF(TRIM(I42)="Must",1,IF(TRIM(I42)="Should",0.75,IF(TRIM(I42)="Could",0.5,IF(TRIM(I42)="Would",0.25,0))))</f>
        <v>1</v>
      </c>
      <c r="K42" s="76">
        <f>E42*J42</f>
        <v>1</v>
      </c>
      <c r="L42" s="47"/>
    </row>
    <row r="43" spans="1:12" s="45" customFormat="1" ht="11.25">
      <c r="A43" s="48"/>
      <c r="B43" s="49"/>
      <c r="C43" s="49"/>
      <c r="D43" s="48"/>
      <c r="E43" s="67"/>
      <c r="F43" s="48"/>
      <c r="G43" s="48"/>
      <c r="H43" s="49"/>
      <c r="I43" s="49"/>
      <c r="J43" s="49"/>
      <c r="K43" s="49"/>
      <c r="L43" s="49"/>
    </row>
    <row r="44" spans="1:12" s="45" customFormat="1" ht="33" customHeight="1" thickBot="1">
      <c r="A44" s="376" t="s">
        <v>733</v>
      </c>
      <c r="B44" s="376"/>
      <c r="C44" s="210"/>
      <c r="D44" s="210"/>
      <c r="E44" s="211"/>
      <c r="F44" s="210"/>
      <c r="G44" s="210"/>
      <c r="H44" s="210"/>
      <c r="I44" s="210"/>
      <c r="J44" s="210"/>
      <c r="K44" s="210"/>
      <c r="L44" s="210"/>
    </row>
    <row r="45" spans="1:12" s="45" customFormat="1" ht="22.5">
      <c r="A45" s="46">
        <v>28</v>
      </c>
      <c r="B45" s="47" t="s">
        <v>67</v>
      </c>
      <c r="C45" s="47" t="s">
        <v>70</v>
      </c>
      <c r="D45" s="182" t="s">
        <v>21</v>
      </c>
      <c r="E45" s="184">
        <v>1</v>
      </c>
      <c r="F45" s="187" t="s">
        <v>397</v>
      </c>
      <c r="G45" s="46" t="s">
        <v>97</v>
      </c>
      <c r="H45" s="175" t="s">
        <v>68</v>
      </c>
      <c r="I45" s="177" t="s">
        <v>719</v>
      </c>
      <c r="J45" s="176">
        <f>IF(TRIM(I45)="Must",1,IF(TRIM(I45)="Should",0.75,IF(TRIM(I45)="Could",0.5,IF(TRIM(I45)="Would",0.25,0))))</f>
        <v>1</v>
      </c>
      <c r="K45" s="76">
        <f>E45*J45</f>
        <v>1</v>
      </c>
      <c r="L45" s="47"/>
    </row>
    <row r="46" spans="1:12" s="45" customFormat="1" ht="22.5">
      <c r="A46" s="46">
        <v>29</v>
      </c>
      <c r="B46" s="47" t="s">
        <v>69</v>
      </c>
      <c r="C46" s="47" t="s">
        <v>70</v>
      </c>
      <c r="D46" s="182" t="s">
        <v>18</v>
      </c>
      <c r="E46" s="185">
        <v>1</v>
      </c>
      <c r="F46" s="187" t="s">
        <v>393</v>
      </c>
      <c r="G46" s="46" t="s">
        <v>97</v>
      </c>
      <c r="H46" s="175" t="s">
        <v>71</v>
      </c>
      <c r="I46" s="178" t="s">
        <v>736</v>
      </c>
      <c r="J46" s="176">
        <f>IF(TRIM(I46)="Must",1,IF(TRIM(I46)="Should",0.75,IF(TRIM(I46)="Could",0.5,IF(TRIM(I46)="Would",0.25,0))))</f>
        <v>0.5</v>
      </c>
      <c r="K46" s="76">
        <f>E46*J46</f>
        <v>0.5</v>
      </c>
      <c r="L46" s="47"/>
    </row>
    <row r="47" spans="1:12" s="45" customFormat="1" ht="22.5">
      <c r="A47" s="46">
        <v>30</v>
      </c>
      <c r="B47" s="47" t="s">
        <v>72</v>
      </c>
      <c r="C47" s="47" t="s">
        <v>70</v>
      </c>
      <c r="D47" s="182" t="s">
        <v>18</v>
      </c>
      <c r="E47" s="185">
        <v>1</v>
      </c>
      <c r="F47" s="187" t="s">
        <v>393</v>
      </c>
      <c r="G47" s="46" t="s">
        <v>410</v>
      </c>
      <c r="H47" s="175" t="s">
        <v>73</v>
      </c>
      <c r="I47" s="178" t="s">
        <v>890</v>
      </c>
      <c r="J47" s="176">
        <f>IF(TRIM(I47)="Must",1,IF(TRIM(I47)="Should",0.75,IF(TRIM(I47)="Could",0.5,IF(TRIM(I47)="Would",0.25,0))))</f>
        <v>0</v>
      </c>
      <c r="K47" s="76">
        <f>E47*J47</f>
        <v>0</v>
      </c>
      <c r="L47" s="47"/>
    </row>
    <row r="48" spans="1:12" s="45" customFormat="1" ht="22.5">
      <c r="A48" s="46">
        <v>31</v>
      </c>
      <c r="B48" s="47" t="s">
        <v>74</v>
      </c>
      <c r="C48" s="47" t="s">
        <v>70</v>
      </c>
      <c r="D48" s="182" t="s">
        <v>18</v>
      </c>
      <c r="E48" s="185">
        <v>1</v>
      </c>
      <c r="F48" s="187" t="s">
        <v>394</v>
      </c>
      <c r="G48" s="46" t="s">
        <v>263</v>
      </c>
      <c r="H48" s="175" t="s">
        <v>15</v>
      </c>
      <c r="I48" s="178" t="s">
        <v>719</v>
      </c>
      <c r="J48" s="176">
        <f>IF(TRIM(I48)="Must",1,IF(TRIM(I48)="Should",0.75,IF(TRIM(I48)="Could",0.5,IF(TRIM(I48)="Would",0.25,0))))</f>
        <v>1</v>
      </c>
      <c r="K48" s="76">
        <f>E48*J48</f>
        <v>1</v>
      </c>
      <c r="L48" s="47"/>
    </row>
    <row r="49" spans="1:12" s="45" customFormat="1" ht="23.25" thickBot="1">
      <c r="A49" s="46">
        <v>32</v>
      </c>
      <c r="B49" s="47" t="s">
        <v>75</v>
      </c>
      <c r="C49" s="47" t="s">
        <v>70</v>
      </c>
      <c r="D49" s="182" t="s">
        <v>8</v>
      </c>
      <c r="E49" s="186">
        <v>1</v>
      </c>
      <c r="F49" s="187" t="s">
        <v>393</v>
      </c>
      <c r="G49" s="46"/>
      <c r="H49" s="175" t="s">
        <v>76</v>
      </c>
      <c r="I49" s="179" t="s">
        <v>719</v>
      </c>
      <c r="J49" s="176">
        <f>IF(TRIM(I49)="Must",1,IF(TRIM(I49)="Should",0.75,IF(TRIM(I49)="Could",0.5,IF(TRIM(I49)="Would",0.25,0))))</f>
        <v>1</v>
      </c>
      <c r="K49" s="76">
        <f>E49*J49</f>
        <v>1</v>
      </c>
      <c r="L49" s="47"/>
    </row>
    <row r="50" spans="1:12" s="45" customFormat="1" ht="11.25">
      <c r="A50" s="48"/>
      <c r="B50" s="49"/>
      <c r="C50" s="49"/>
      <c r="D50" s="48"/>
      <c r="E50" s="67"/>
      <c r="F50" s="48"/>
      <c r="G50" s="48"/>
      <c r="H50" s="49"/>
      <c r="I50" s="49"/>
      <c r="J50" s="49"/>
      <c r="K50" s="49"/>
      <c r="L50" s="49"/>
    </row>
    <row r="51" spans="1:12" s="45" customFormat="1" ht="30" customHeight="1" thickBot="1">
      <c r="A51" s="376" t="s">
        <v>860</v>
      </c>
      <c r="B51" s="376"/>
      <c r="C51" s="210"/>
      <c r="D51" s="210"/>
      <c r="E51" s="211"/>
      <c r="F51" s="210"/>
      <c r="G51" s="210"/>
      <c r="H51" s="210"/>
      <c r="I51" s="210"/>
      <c r="J51" s="210"/>
      <c r="K51" s="210"/>
      <c r="L51" s="210"/>
    </row>
    <row r="52" spans="1:12" s="45" customFormat="1" ht="35.25">
      <c r="A52" s="46">
        <v>33</v>
      </c>
      <c r="B52" s="218" t="s">
        <v>938</v>
      </c>
      <c r="C52" s="47" t="s">
        <v>288</v>
      </c>
      <c r="D52" s="182" t="s">
        <v>47</v>
      </c>
      <c r="E52" s="184">
        <v>1</v>
      </c>
      <c r="F52" s="183" t="s">
        <v>395</v>
      </c>
      <c r="G52" s="170" t="s">
        <v>302</v>
      </c>
      <c r="H52" s="180" t="s">
        <v>937</v>
      </c>
      <c r="I52" s="177" t="s">
        <v>736</v>
      </c>
      <c r="J52" s="176">
        <f>IF(TRIM(I52)="Must",1,IF(TRIM(I52)="Should",0.75,IF(TRIM(I52)="Could",0.5,IF(TRIM(I52)="Would",0.25,0))))</f>
        <v>0.5</v>
      </c>
      <c r="K52" s="76">
        <f>E52*J52</f>
        <v>0.5</v>
      </c>
      <c r="L52" s="47"/>
    </row>
    <row r="53" spans="1:12" s="45" customFormat="1" ht="22.5">
      <c r="A53" s="46">
        <v>34</v>
      </c>
      <c r="B53" s="47" t="s">
        <v>858</v>
      </c>
      <c r="C53" s="47" t="s">
        <v>288</v>
      </c>
      <c r="D53" s="182" t="s">
        <v>47</v>
      </c>
      <c r="E53" s="185">
        <v>1</v>
      </c>
      <c r="F53" s="183" t="s">
        <v>395</v>
      </c>
      <c r="G53" s="170" t="s">
        <v>302</v>
      </c>
      <c r="H53" s="181" t="s">
        <v>326</v>
      </c>
      <c r="I53" s="178" t="s">
        <v>890</v>
      </c>
      <c r="J53" s="176">
        <f t="shared" ref="J53:J56" si="2">IF(TRIM(I53)="Must",1,IF(TRIM(I53)="Should",0.75,IF(TRIM(I53)="Could",0.5,IF(TRIM(I53)="Would",0.25,0))))</f>
        <v>0</v>
      </c>
      <c r="K53" s="76">
        <f t="shared" ref="K53:K56" si="3">E53*J53</f>
        <v>0</v>
      </c>
      <c r="L53" s="47"/>
    </row>
    <row r="54" spans="1:12" s="45" customFormat="1" ht="22.5">
      <c r="A54" s="46">
        <v>35</v>
      </c>
      <c r="B54" s="47" t="s">
        <v>859</v>
      </c>
      <c r="C54" s="47" t="s">
        <v>288</v>
      </c>
      <c r="D54" s="182" t="s">
        <v>47</v>
      </c>
      <c r="E54" s="185">
        <v>1</v>
      </c>
      <c r="F54" s="183" t="s">
        <v>397</v>
      </c>
      <c r="G54" s="170" t="s">
        <v>302</v>
      </c>
      <c r="H54" s="181" t="s">
        <v>329</v>
      </c>
      <c r="I54" s="178" t="s">
        <v>735</v>
      </c>
      <c r="J54" s="176">
        <f t="shared" si="2"/>
        <v>0.75</v>
      </c>
      <c r="K54" s="76">
        <f t="shared" si="3"/>
        <v>0.75</v>
      </c>
      <c r="L54" s="47"/>
    </row>
    <row r="55" spans="1:12" s="45" customFormat="1" ht="33.75">
      <c r="A55" s="46">
        <v>37</v>
      </c>
      <c r="B55" s="47" t="s">
        <v>935</v>
      </c>
      <c r="C55" s="47" t="s">
        <v>288</v>
      </c>
      <c r="D55" s="182" t="s">
        <v>47</v>
      </c>
      <c r="E55" s="185">
        <v>1</v>
      </c>
      <c r="F55" s="183" t="s">
        <v>393</v>
      </c>
      <c r="G55" s="170" t="s">
        <v>316</v>
      </c>
      <c r="H55" s="181" t="s">
        <v>314</v>
      </c>
      <c r="I55" s="178" t="s">
        <v>719</v>
      </c>
      <c r="J55" s="176">
        <f t="shared" si="2"/>
        <v>1</v>
      </c>
      <c r="K55" s="76">
        <f t="shared" si="3"/>
        <v>1</v>
      </c>
      <c r="L55" s="47"/>
    </row>
    <row r="56" spans="1:12" s="45" customFormat="1" ht="34.5" thickBot="1">
      <c r="A56" s="46">
        <v>38</v>
      </c>
      <c r="B56" s="47" t="s">
        <v>936</v>
      </c>
      <c r="C56" s="47" t="s">
        <v>288</v>
      </c>
      <c r="D56" s="182" t="s">
        <v>47</v>
      </c>
      <c r="E56" s="186">
        <v>1</v>
      </c>
      <c r="F56" s="183" t="s">
        <v>393</v>
      </c>
      <c r="G56" s="170" t="s">
        <v>316</v>
      </c>
      <c r="H56" s="181" t="s">
        <v>318</v>
      </c>
      <c r="I56" s="179" t="s">
        <v>736</v>
      </c>
      <c r="J56" s="176">
        <f t="shared" si="2"/>
        <v>0.5</v>
      </c>
      <c r="K56" s="76">
        <f t="shared" si="3"/>
        <v>0.5</v>
      </c>
      <c r="L56" s="47"/>
    </row>
    <row r="57" spans="1:12">
      <c r="B57" s="41"/>
      <c r="C57" s="41"/>
    </row>
    <row r="58" spans="1:12">
      <c r="B58" s="41"/>
      <c r="C58" s="41"/>
    </row>
    <row r="59" spans="1:12">
      <c r="B59" s="41"/>
      <c r="C59" s="41"/>
    </row>
    <row r="60" spans="1:12">
      <c r="B60" s="41"/>
      <c r="C60" s="41"/>
    </row>
  </sheetData>
  <mergeCells count="9">
    <mergeCell ref="A51:B51"/>
    <mergeCell ref="A40:B40"/>
    <mergeCell ref="A3:B3"/>
    <mergeCell ref="A20:B20"/>
    <mergeCell ref="A30:B30"/>
    <mergeCell ref="A44:B44"/>
    <mergeCell ref="A9:B9"/>
    <mergeCell ref="A15:B15"/>
    <mergeCell ref="A35:B35"/>
  </mergeCells>
  <dataValidations count="4">
    <dataValidation type="list" allowBlank="1" showInputMessage="1" showErrorMessage="1" sqref="J51:K51 J8:K9 J14:K15 J19:K20 J29:K30 J34:K35 J39:K40 J43:K44" xr:uid="{861FD54D-77CE-4D2C-B663-C7318F3DDEFA}">
      <formula1>"Must,Should,Could,Would,NVT"</formula1>
    </dataValidation>
    <dataValidation type="list" allowBlank="1" showInputMessage="1" showErrorMessage="1" sqref="F57:F106" xr:uid="{BAEF74FB-BBC5-4E96-BE51-BBCDD08B5C12}">
      <formula1>$F$4:$F$132</formula1>
    </dataValidation>
    <dataValidation type="list" allowBlank="1" showInputMessage="1" showErrorMessage="1" sqref="I4:I56" xr:uid="{5DAA41D2-F2C0-4DAB-810B-717ED6BD42E4}">
      <formula1>"Must,Should,Could,Won't,NVT"</formula1>
    </dataValidation>
    <dataValidation type="list" showInputMessage="1" showErrorMessage="1" sqref="F4:F56" xr:uid="{8F5C8DAA-1D9E-4D76-B025-D9FDB790209B}">
      <formula1>$F$4:$F$132</formula1>
    </dataValidation>
  </dataValidations>
  <pageMargins left="0.75" right="0.75" top="1" bottom="1" header="0.5" footer="0.5"/>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C4C5F-8AAD-4D0F-840A-37A1E8E637CE}">
  <dimension ref="A1:AW376"/>
  <sheetViews>
    <sheetView topLeftCell="N1" zoomScale="77" zoomScaleNormal="77" workbookViewId="0">
      <selection activeCell="AC8" sqref="AC8"/>
    </sheetView>
  </sheetViews>
  <sheetFormatPr defaultColWidth="8.7109375" defaultRowHeight="14.25"/>
  <cols>
    <col min="1" max="1" width="27.28515625" style="40" hidden="1" customWidth="1"/>
    <col min="2" max="2" width="26.7109375" style="40" hidden="1" customWidth="1"/>
    <col min="3" max="3" width="35.85546875" style="40" hidden="1" customWidth="1"/>
    <col min="4" max="4" width="38.140625" style="40" hidden="1" customWidth="1"/>
    <col min="5" max="5" width="20.28515625" style="40" hidden="1" customWidth="1"/>
    <col min="6" max="6" width="27.5703125" style="40" hidden="1" customWidth="1"/>
    <col min="7" max="9" width="17.5703125" style="40" hidden="1" customWidth="1"/>
    <col min="10" max="10" width="22.140625" style="40" hidden="1" customWidth="1"/>
    <col min="11" max="13" width="17.5703125" style="40" hidden="1" customWidth="1"/>
    <col min="14" max="14" width="8.7109375" style="40"/>
    <col min="15" max="15" width="45.140625" style="40" customWidth="1"/>
    <col min="16" max="16" width="20.140625" style="40" customWidth="1"/>
    <col min="17" max="17" width="19.5703125" style="40" customWidth="1"/>
    <col min="18" max="18" width="13.42578125" style="40" customWidth="1"/>
    <col min="19" max="19" width="9.5703125" style="40" customWidth="1"/>
    <col min="20" max="20" width="8.7109375" style="40"/>
    <col min="21" max="21" width="10.42578125" style="40" customWidth="1"/>
    <col min="22" max="29" width="8.7109375" style="40"/>
    <col min="30" max="30" width="26.140625" style="40" customWidth="1"/>
    <col min="31" max="31" width="24.42578125" style="40" customWidth="1"/>
    <col min="32" max="32" width="8.7109375" style="40" customWidth="1"/>
    <col min="33" max="33" width="14.140625" style="40" customWidth="1"/>
    <col min="34" max="34" width="14.7109375" style="40" customWidth="1"/>
    <col min="35" max="38" width="8.7109375" style="40"/>
    <col min="39" max="39" width="10.7109375" style="40" customWidth="1"/>
    <col min="40" max="41" width="8.7109375" style="40"/>
    <col min="42" max="42" width="25.140625" style="40" customWidth="1"/>
    <col min="43" max="43" width="63.140625" style="40" customWidth="1"/>
    <col min="44" max="44" width="8.7109375" style="40"/>
    <col min="45" max="45" width="21.140625" style="40" customWidth="1"/>
    <col min="46" max="46" width="24.28515625" style="40" customWidth="1"/>
    <col min="47" max="16384" width="8.7109375" style="40"/>
  </cols>
  <sheetData>
    <row r="1" spans="1:44" ht="13.5" customHeight="1">
      <c r="A1" s="54" t="s">
        <v>3</v>
      </c>
      <c r="B1" s="54" t="s">
        <v>78</v>
      </c>
      <c r="C1" s="55" t="s">
        <v>79</v>
      </c>
      <c r="D1" s="55" t="s">
        <v>80</v>
      </c>
      <c r="E1" s="55" t="s">
        <v>81</v>
      </c>
      <c r="F1" s="55" t="s">
        <v>82</v>
      </c>
      <c r="G1" s="55"/>
      <c r="H1" s="55"/>
      <c r="I1" s="55"/>
      <c r="J1" s="55"/>
      <c r="K1" s="55"/>
      <c r="L1" s="55"/>
      <c r="M1" s="55"/>
      <c r="O1" s="412" t="s">
        <v>857</v>
      </c>
      <c r="P1" s="413"/>
      <c r="Q1" s="413"/>
      <c r="R1" s="413"/>
      <c r="S1" s="413"/>
      <c r="T1" s="413"/>
      <c r="U1" s="413"/>
      <c r="V1" s="413"/>
      <c r="W1" s="413"/>
      <c r="X1" s="413"/>
      <c r="Y1" s="413"/>
      <c r="Z1" s="413"/>
      <c r="AA1" s="413"/>
      <c r="AB1" s="413"/>
      <c r="AC1" s="413"/>
      <c r="AD1" s="413"/>
      <c r="AE1" s="413"/>
      <c r="AF1" s="413"/>
      <c r="AG1" s="413"/>
      <c r="AH1" s="413"/>
      <c r="AI1" s="413"/>
      <c r="AJ1" s="413"/>
      <c r="AK1" s="413"/>
      <c r="AL1" s="413"/>
      <c r="AM1" s="413"/>
      <c r="AN1" s="413"/>
      <c r="AO1" s="413"/>
      <c r="AP1" s="413"/>
      <c r="AQ1" s="413"/>
      <c r="AR1" s="414"/>
    </row>
    <row r="2" spans="1:44" ht="63.95" customHeight="1" thickBot="1">
      <c r="A2" s="40" t="str">
        <f>Analyse!A2</f>
        <v>Governance</v>
      </c>
      <c r="B2" s="40">
        <f>IFERROR(SUMIF('3. Scan'!D:D,A2,'3. Scan'!K:K)/(5*SUMIF('3. Scan'!D:D,A2,'3. Scan'!J:J)),"")</f>
        <v>0.2</v>
      </c>
      <c r="C2" s="40">
        <f>IF($B2&lt;0.33,$B2,"")</f>
        <v>0.2</v>
      </c>
      <c r="D2" s="40" t="str">
        <f>IF(AND($B2&gt;=0.33,$B2&lt;0.5),$B2,"")</f>
        <v/>
      </c>
      <c r="E2" s="40" t="str">
        <f>IF(AND($B2&gt;=0.5,$B2&lt;0.8),$B2,"")</f>
        <v/>
      </c>
      <c r="F2" s="40" t="str">
        <f>IF($B2&gt;=0.8,$B2,"")</f>
        <v/>
      </c>
      <c r="M2" s="56"/>
      <c r="O2" s="415"/>
      <c r="P2" s="416"/>
      <c r="Q2" s="416"/>
      <c r="R2" s="416"/>
      <c r="S2" s="416"/>
      <c r="T2" s="416"/>
      <c r="U2" s="416"/>
      <c r="V2" s="416"/>
      <c r="W2" s="416"/>
      <c r="X2" s="416"/>
      <c r="Y2" s="416"/>
      <c r="Z2" s="416"/>
      <c r="AA2" s="416"/>
      <c r="AB2" s="416"/>
      <c r="AC2" s="416"/>
      <c r="AD2" s="416"/>
      <c r="AE2" s="416"/>
      <c r="AF2" s="416"/>
      <c r="AG2" s="416"/>
      <c r="AH2" s="416"/>
      <c r="AI2" s="416"/>
      <c r="AJ2" s="416"/>
      <c r="AK2" s="416"/>
      <c r="AL2" s="416"/>
      <c r="AM2" s="416"/>
      <c r="AN2" s="416"/>
      <c r="AO2" s="416"/>
      <c r="AP2" s="416"/>
      <c r="AQ2" s="416"/>
      <c r="AR2" s="417"/>
    </row>
    <row r="3" spans="1:44">
      <c r="A3" s="40" t="str">
        <f>Analyse!A3</f>
        <v>Metadata</v>
      </c>
      <c r="B3" s="40">
        <f>IFERROR(SUMIF('3. Scan'!D:D,A3,'3. Scan'!K:K)/(5*SUMIF('3. Scan'!D:D,A3,'3. Scan'!J:J)),"")</f>
        <v>0.2</v>
      </c>
      <c r="C3" s="40">
        <f>IF($B3&lt;0.33,$B3,"")</f>
        <v>0.2</v>
      </c>
      <c r="D3" s="40" t="str">
        <f>IF(AND($B3&gt;=0.33,$B3&lt;0.5),$B3,"")</f>
        <v/>
      </c>
      <c r="E3" s="40" t="str">
        <f>IF(AND($B3&gt;=0.5,$B3&lt;0.8),$B3,"")</f>
        <v/>
      </c>
      <c r="F3" s="40" t="str">
        <f>IF($B3&gt;=0.8,$B3,"")</f>
        <v/>
      </c>
      <c r="M3" s="56"/>
    </row>
    <row r="4" spans="1:44" ht="14.45" customHeight="1">
      <c r="A4" s="40" t="str">
        <f>Analyse!A4</f>
        <v>Techniek</v>
      </c>
      <c r="B4" s="40">
        <f>IFERROR(SUMIF('3. Scan'!D:D,A4,'3. Scan'!K:K)/(5*SUMIF('3. Scan'!D:D,A4,'3. Scan'!J:J)),"")</f>
        <v>0.2</v>
      </c>
      <c r="C4" s="40">
        <f>IF($B4&lt;0.33,$B4,"")</f>
        <v>0.2</v>
      </c>
      <c r="D4" s="40" t="str">
        <f>IF(AND($B4&gt;=0.33,$B4&lt;0.5),$B4,"")</f>
        <v/>
      </c>
      <c r="E4" s="40" t="str">
        <f>IF(AND($B4&gt;=0.5,$B4&lt;0.8),$B4,"")</f>
        <v/>
      </c>
      <c r="F4" s="40" t="str">
        <f>IF($B4&gt;=0.8,$B4,"")</f>
        <v/>
      </c>
      <c r="M4" s="56"/>
      <c r="N4" s="74"/>
      <c r="P4" s="418" t="s">
        <v>847</v>
      </c>
      <c r="Q4" s="419"/>
      <c r="R4" s="419"/>
      <c r="S4" s="419"/>
      <c r="T4" s="420"/>
      <c r="U4" s="166"/>
      <c r="V4" s="418" t="s">
        <v>848</v>
      </c>
      <c r="W4" s="419"/>
      <c r="X4" s="419"/>
      <c r="Y4" s="419"/>
      <c r="Z4" s="420"/>
      <c r="AA4" s="166"/>
      <c r="AB4" s="418" t="s">
        <v>849</v>
      </c>
      <c r="AC4" s="419"/>
      <c r="AD4" s="419"/>
      <c r="AE4" s="419"/>
      <c r="AF4" s="420"/>
      <c r="AG4" s="166"/>
      <c r="AH4" s="418" t="s">
        <v>850</v>
      </c>
      <c r="AI4" s="419"/>
      <c r="AJ4" s="419"/>
      <c r="AK4" s="419"/>
      <c r="AL4" s="420"/>
      <c r="AP4" s="161" t="s">
        <v>751</v>
      </c>
      <c r="AQ4" s="162" t="s">
        <v>752</v>
      </c>
    </row>
    <row r="5" spans="1:44" ht="13.5" customHeight="1">
      <c r="A5" s="40" t="str">
        <f>Analyse!A5</f>
        <v>Lifecycle</v>
      </c>
      <c r="B5" s="40">
        <f>IFERROR(SUMIF('3. Scan'!D:D,A5,'3. Scan'!K:K)/(5*SUMIF('3. Scan'!D:D,A5,'3. Scan'!J:J)),"")</f>
        <v>0.2</v>
      </c>
      <c r="C5" s="40">
        <f>IF($B5&lt;0.33,$B5,"")</f>
        <v>0.2</v>
      </c>
      <c r="D5" s="40" t="str">
        <f>IF(AND($B5&gt;=0.33,$B5&lt;0.5),$B5,"")</f>
        <v/>
      </c>
      <c r="E5" s="40" t="str">
        <f>IF(AND($B5&gt;=0.5,$B5&lt;0.8),$B5,"")</f>
        <v/>
      </c>
      <c r="F5" s="40" t="str">
        <f>IF($B5&gt;=0.8,$B5,"")</f>
        <v/>
      </c>
      <c r="M5" s="56"/>
      <c r="N5" s="74"/>
      <c r="P5" s="164">
        <v>1</v>
      </c>
      <c r="Q5" s="404" t="str" cm="1">
        <f t="array" ref="Q5">INDEX(_xlfn.SORTBY(_xlfn._xlws.FILTER($P$97:$P$111,$S$97:$S$111&gt;0),_xlfn._xlws.FILTER($S$97:$S$111,$S$97:$S$111&gt;0),-1),1)</f>
        <v>Toegangsbeheer</v>
      </c>
      <c r="R5" s="405"/>
      <c r="S5" s="405"/>
      <c r="T5" s="406"/>
      <c r="U5" s="166"/>
      <c r="V5" s="164">
        <v>1</v>
      </c>
      <c r="W5" s="404" t="str">
        <f>INDEX($A$27:$A$34,MATCH(SMALL($B$27:$B$34,1),$B$27:$B$34,0))</f>
        <v>Governance en beheer</v>
      </c>
      <c r="X5" s="405"/>
      <c r="Y5" s="405"/>
      <c r="Z5" s="406"/>
      <c r="AA5" s="166"/>
      <c r="AB5" s="164">
        <v>1</v>
      </c>
      <c r="AC5" s="404" t="str" cm="1">
        <f t="array" ref="AC5">INDEX(_xlfn.SORTBY(_xlfn._xlws.FILTER($H$120:$H$127,$I$120:$I$127&gt;0),_xlfn._xlws.FILTER($I$120:$I$127,$I$120:$I$127&gt;0),-1),1)</f>
        <v xml:space="preserve">Informatiebeheer </v>
      </c>
      <c r="AD5" s="405"/>
      <c r="AE5" s="405"/>
      <c r="AF5" s="406"/>
      <c r="AG5" s="166"/>
      <c r="AH5" s="164">
        <v>1</v>
      </c>
      <c r="AI5" s="404" t="str" cm="1">
        <f t="array" ref="AI5">INDEX(_xlfn.SORTBY(_xlfn._xlws.FILTER($A$27:$A$34,$B$27:$B$34&lt;&gt;""),_xlfn._xlws.FILTER($B$27:$B$34,$B$27:$B$34&lt;&gt;""),-1),1)</f>
        <v>Governance en beheer</v>
      </c>
      <c r="AJ5" s="405"/>
      <c r="AK5" s="405"/>
      <c r="AL5" s="406"/>
      <c r="AP5" s="157"/>
      <c r="AQ5" s="127" t="s">
        <v>753</v>
      </c>
    </row>
    <row r="6" spans="1:44" ht="13.5" customHeight="1">
      <c r="A6" s="40" t="str">
        <f>Analyse!A6</f>
        <v>Toegang</v>
      </c>
      <c r="B6" s="40">
        <f>IFERROR(SUMIF('3. Scan'!D:D,A6,'3. Scan'!K:K)/(5*SUMIF('3. Scan'!D:D,A6,'3. Scan'!J:J)),"")</f>
        <v>0.2</v>
      </c>
      <c r="C6" s="40">
        <f>IF($B6&lt;0.33,$B6,"")</f>
        <v>0.2</v>
      </c>
      <c r="D6" s="40" t="str">
        <f>IF(AND($B6&gt;=0.33,$B6&lt;0.5),$B6,"")</f>
        <v/>
      </c>
      <c r="E6" s="40" t="str">
        <f>IF(AND($B6&gt;=0.5,$B6&lt;0.8),$B6,"")</f>
        <v/>
      </c>
      <c r="F6" s="40" t="str">
        <f>IF($B6&gt;=0.8,$B6,"")</f>
        <v/>
      </c>
      <c r="M6" s="56"/>
      <c r="N6" s="74"/>
      <c r="P6" s="164">
        <v>2</v>
      </c>
      <c r="Q6" s="404" t="str" cm="1">
        <f t="array" ref="Q6">INDEX(_xlfn.SORTBY(_xlfn._xlws.FILTER($P$97:$P$111,$S$97:$S$111&gt;0),_xlfn._xlws.FILTER($S$97:$S$111,$S$97:$S$111&gt;0),-1),2)</f>
        <v>Validatie</v>
      </c>
      <c r="R6" s="405"/>
      <c r="S6" s="405"/>
      <c r="T6" s="406"/>
      <c r="U6" s="166"/>
      <c r="V6" s="164">
        <v>2</v>
      </c>
      <c r="W6" s="404" t="str" cm="1">
        <f t="array" ref="W6">INDEX(_xlfn.SORTBY(_xlfn._xlws.FILTER($A$27:$A$34,$B$27:$B$34&lt;&gt;""),_xlfn._xlws.FILTER($B$27:$B$34,$B$27:$B$34&lt;&gt;""),1),2)</f>
        <v>Registratie en metadata</v>
      </c>
      <c r="X6" s="405"/>
      <c r="Y6" s="405"/>
      <c r="Z6" s="406"/>
      <c r="AA6" s="166"/>
      <c r="AB6" s="164">
        <v>2</v>
      </c>
      <c r="AC6" s="404" t="str" cm="1">
        <f t="array" ref="AC6">INDEX(_xlfn.SORTBY(_xlfn._xlws.FILTER($H$120:$H$127,$I$120:$I$127&gt;0),_xlfn._xlws.FILTER($I$120:$I$127,$I$120:$I$127&gt;0),-1),2)</f>
        <v xml:space="preserve">Privacy </v>
      </c>
      <c r="AD6" s="405"/>
      <c r="AE6" s="405"/>
      <c r="AF6" s="406"/>
      <c r="AG6" s="166"/>
      <c r="AH6" s="164">
        <v>2</v>
      </c>
      <c r="AI6" s="404" t="str" cm="1">
        <f t="array" ref="AI6">INDEX(_xlfn.SORTBY(_xlfn._xlws.FILTER($A$27:$A$34,$B$27:$B$34&lt;&gt;""),_xlfn._xlws.FILTER($B$27:$B$34,$B$27:$B$34&lt;&gt;""),-1),2)</f>
        <v>Registratie en metadata</v>
      </c>
      <c r="AJ6" s="405"/>
      <c r="AK6" s="405"/>
      <c r="AL6" s="406"/>
      <c r="AP6" s="158"/>
      <c r="AQ6" s="127" t="s">
        <v>754</v>
      </c>
    </row>
    <row r="7" spans="1:44" ht="13.5" customHeight="1">
      <c r="B7" s="56"/>
      <c r="C7" s="56"/>
      <c r="D7" s="56"/>
      <c r="E7" s="56"/>
      <c r="F7" s="56"/>
      <c r="G7" s="56"/>
      <c r="H7" s="56"/>
      <c r="I7" s="56"/>
      <c r="J7" s="56"/>
      <c r="K7" s="56"/>
      <c r="L7" s="56"/>
      <c r="M7" s="56"/>
      <c r="N7" s="74"/>
      <c r="P7" s="165">
        <v>3</v>
      </c>
      <c r="Q7" s="404" t="str" cm="1">
        <f t="array" ref="Q7">INDEX(_xlfn.SORTBY(_xlfn._xlws.FILTER($P$97:$P$111,$S$97:$S$111&gt;0),_xlfn._xlws.FILTER($S$97:$S$111,$S$97:$S$111&gt;0),-1),3)</f>
        <v>Verantwoording</v>
      </c>
      <c r="R7" s="405"/>
      <c r="S7" s="405"/>
      <c r="T7" s="406"/>
      <c r="U7" s="166"/>
      <c r="V7" s="165">
        <v>3</v>
      </c>
      <c r="W7" s="404" t="str" cm="1">
        <f t="array" ref="W7">INDEX(_xlfn.SORTBY(_xlfn._xlws.FILTER($A$27:$A$34,$B$27:$B$34&lt;&gt;""),_xlfn._xlws.FILTER($B$27:$B$34,$B$27:$B$34&lt;&gt;""),1),3)</f>
        <v>Structuur en classificatie</v>
      </c>
      <c r="X7" s="405"/>
      <c r="Y7" s="405"/>
      <c r="Z7" s="406"/>
      <c r="AA7" s="166"/>
      <c r="AB7" s="165">
        <v>3</v>
      </c>
      <c r="AC7" s="404" t="str" cm="1">
        <f t="array" ref="AC7">INDEX(_xlfn.SORTBY(_xlfn._xlws.FILTER($H$120:$H$127,$I$120:$I$127&gt;0),_xlfn._xlws.FILTER($I$120:$I$127,$I$120:$I$127&gt;0),-1),3)</f>
        <v xml:space="preserve">Datamanagement </v>
      </c>
      <c r="AD7" s="405"/>
      <c r="AE7" s="405"/>
      <c r="AF7" s="406"/>
      <c r="AG7" s="166"/>
      <c r="AH7" s="165">
        <v>3</v>
      </c>
      <c r="AI7" s="404" t="str" cm="1">
        <f t="array" ref="AI7">INDEX(_xlfn.SORTBY(_xlfn._xlws.FILTER($A$27:$A$34,$B$27:$B$34&lt;&gt;""),_xlfn._xlws.FILTER($B$27:$B$34,$B$27:$B$34&lt;&gt;""),-1),3)</f>
        <v>Structuur en classificatie</v>
      </c>
      <c r="AJ7" s="405"/>
      <c r="AK7" s="405"/>
      <c r="AL7" s="406"/>
      <c r="AP7" s="159"/>
      <c r="AQ7" s="127" t="s">
        <v>756</v>
      </c>
    </row>
    <row r="8" spans="1:44" ht="14.1" customHeight="1">
      <c r="A8" s="403" t="s">
        <v>761</v>
      </c>
      <c r="B8" s="403"/>
      <c r="C8" s="86"/>
      <c r="D8" s="86"/>
      <c r="E8" s="86"/>
      <c r="F8" s="86"/>
      <c r="G8" s="86"/>
      <c r="H8" s="86"/>
      <c r="I8" s="86"/>
      <c r="J8" s="86"/>
      <c r="K8" s="86"/>
      <c r="L8" s="86"/>
      <c r="M8" s="56"/>
      <c r="N8" s="74"/>
      <c r="R8" s="73"/>
      <c r="S8" s="73"/>
      <c r="T8" s="73"/>
      <c r="U8" s="75"/>
      <c r="AP8" s="160"/>
      <c r="AQ8" s="127" t="s">
        <v>755</v>
      </c>
    </row>
    <row r="9" spans="1:44">
      <c r="N9" s="74"/>
      <c r="O9" s="74"/>
      <c r="P9" s="74"/>
      <c r="Q9" s="74"/>
      <c r="R9" s="74"/>
      <c r="S9" s="74"/>
      <c r="T9" s="74"/>
      <c r="U9" s="74"/>
      <c r="V9" s="74"/>
      <c r="W9" s="74"/>
      <c r="X9" s="74"/>
    </row>
    <row r="10" spans="1:44" ht="15" thickBot="1">
      <c r="N10" s="74"/>
      <c r="O10" s="74"/>
      <c r="P10" s="74"/>
      <c r="Q10" s="74"/>
      <c r="R10" s="74"/>
      <c r="S10" s="74"/>
      <c r="T10" s="74"/>
      <c r="U10" s="74"/>
      <c r="V10" s="74"/>
      <c r="W10" s="74"/>
      <c r="X10" s="74"/>
    </row>
    <row r="11" spans="1:44">
      <c r="O11" s="386" t="s">
        <v>844</v>
      </c>
      <c r="P11" s="134"/>
      <c r="Q11" s="134"/>
      <c r="R11" s="134"/>
      <c r="S11" s="134"/>
      <c r="T11" s="134"/>
      <c r="U11" s="134"/>
      <c r="V11" s="134"/>
      <c r="W11" s="134"/>
      <c r="X11" s="134"/>
      <c r="Y11" s="134"/>
      <c r="Z11" s="134"/>
      <c r="AA11" s="134"/>
      <c r="AB11" s="134"/>
      <c r="AC11" s="134"/>
      <c r="AD11" s="134"/>
      <c r="AE11" s="134"/>
      <c r="AF11" s="134"/>
      <c r="AG11" s="134"/>
      <c r="AH11" s="134"/>
      <c r="AI11" s="134"/>
      <c r="AJ11" s="134"/>
      <c r="AK11" s="134"/>
      <c r="AL11" s="134"/>
      <c r="AM11" s="134"/>
      <c r="AN11" s="134"/>
      <c r="AO11" s="134"/>
      <c r="AP11" s="134"/>
      <c r="AQ11" s="134"/>
      <c r="AR11" s="135"/>
    </row>
    <row r="12" spans="1:44">
      <c r="O12" s="387"/>
      <c r="P12" s="136"/>
      <c r="Q12" s="136"/>
      <c r="R12" s="136"/>
      <c r="S12" s="136"/>
      <c r="T12" s="136"/>
      <c r="U12" s="136"/>
      <c r="V12" s="136"/>
      <c r="W12" s="136"/>
      <c r="X12" s="136"/>
      <c r="Y12" s="136"/>
      <c r="Z12" s="136"/>
      <c r="AA12" s="136"/>
      <c r="AB12" s="136"/>
      <c r="AC12" s="136"/>
      <c r="AD12" s="136"/>
      <c r="AE12" s="136"/>
      <c r="AF12" s="136"/>
      <c r="AG12" s="136"/>
      <c r="AH12" s="136"/>
      <c r="AI12" s="136"/>
      <c r="AJ12" s="136"/>
      <c r="AK12" s="136"/>
      <c r="AL12" s="136"/>
      <c r="AM12" s="136"/>
      <c r="AN12" s="136"/>
      <c r="AO12" s="136"/>
      <c r="AP12" s="136"/>
      <c r="AQ12" s="136"/>
      <c r="AR12" s="137"/>
    </row>
    <row r="13" spans="1:44">
      <c r="O13" s="387"/>
      <c r="P13" s="136"/>
      <c r="Q13" s="136"/>
      <c r="R13" s="136"/>
      <c r="S13" s="136"/>
      <c r="T13" s="136"/>
      <c r="U13" s="136"/>
      <c r="V13" s="136"/>
      <c r="W13" s="136"/>
      <c r="X13" s="136"/>
      <c r="Y13" s="136"/>
      <c r="Z13" s="136"/>
      <c r="AA13" s="136"/>
      <c r="AB13" s="136"/>
      <c r="AC13" s="136"/>
      <c r="AD13" s="136"/>
      <c r="AE13" s="136"/>
      <c r="AF13" s="136"/>
      <c r="AG13" s="136"/>
      <c r="AH13" s="136"/>
      <c r="AI13" s="136"/>
      <c r="AJ13" s="136"/>
      <c r="AK13" s="136"/>
      <c r="AL13" s="136"/>
      <c r="AM13" s="136"/>
      <c r="AN13" s="136"/>
      <c r="AO13" s="136"/>
      <c r="AP13" s="136"/>
      <c r="AQ13" s="136"/>
      <c r="AR13" s="137"/>
    </row>
    <row r="14" spans="1:44">
      <c r="O14" s="387"/>
      <c r="P14" s="136"/>
      <c r="Q14" s="136"/>
      <c r="R14" s="136"/>
      <c r="S14" s="136"/>
      <c r="T14" s="136"/>
      <c r="U14" s="136"/>
      <c r="V14" s="136"/>
      <c r="W14" s="136"/>
      <c r="X14" s="136"/>
      <c r="Y14" s="136"/>
      <c r="Z14" s="136"/>
      <c r="AA14" s="136"/>
      <c r="AB14" s="136"/>
      <c r="AC14" s="136"/>
      <c r="AD14" s="136"/>
      <c r="AE14" s="136"/>
      <c r="AF14" s="136"/>
      <c r="AG14" s="136"/>
      <c r="AH14" s="136"/>
      <c r="AI14" s="136"/>
      <c r="AJ14" s="136"/>
      <c r="AK14" s="136"/>
      <c r="AL14" s="136"/>
      <c r="AM14" s="136"/>
      <c r="AN14" s="136"/>
      <c r="AO14" s="136"/>
      <c r="AP14" s="136"/>
      <c r="AQ14" s="136"/>
      <c r="AR14" s="137"/>
    </row>
    <row r="15" spans="1:44">
      <c r="O15" s="387"/>
      <c r="P15" s="136"/>
      <c r="Q15" s="136"/>
      <c r="R15" s="136"/>
      <c r="S15" s="136"/>
      <c r="T15" s="136"/>
      <c r="U15" s="136"/>
      <c r="V15" s="136"/>
      <c r="W15" s="136"/>
      <c r="X15" s="136"/>
      <c r="Y15" s="136"/>
      <c r="Z15" s="136"/>
      <c r="AA15" s="136"/>
      <c r="AB15" s="136"/>
      <c r="AC15" s="136"/>
      <c r="AD15" s="136"/>
      <c r="AE15" s="136"/>
      <c r="AF15" s="136"/>
      <c r="AG15" s="136"/>
      <c r="AH15" s="136"/>
      <c r="AI15" s="136"/>
      <c r="AJ15" s="136"/>
      <c r="AK15" s="136"/>
      <c r="AL15" s="136"/>
      <c r="AM15" s="136"/>
      <c r="AN15" s="136"/>
      <c r="AO15" s="136"/>
      <c r="AP15" s="136"/>
      <c r="AQ15" s="136"/>
      <c r="AR15" s="137"/>
    </row>
    <row r="16" spans="1:44" ht="13.5" customHeight="1">
      <c r="N16" s="63"/>
      <c r="O16" s="387"/>
      <c r="P16" s="136"/>
      <c r="Q16" s="136"/>
      <c r="R16" s="136"/>
      <c r="S16" s="136"/>
      <c r="T16" s="136"/>
      <c r="U16" s="136"/>
      <c r="V16" s="136"/>
      <c r="W16" s="136"/>
      <c r="X16" s="136"/>
      <c r="Y16" s="136"/>
      <c r="Z16" s="136"/>
      <c r="AA16" s="136"/>
      <c r="AB16" s="136"/>
      <c r="AC16" s="136"/>
      <c r="AD16" s="136"/>
      <c r="AE16" s="136"/>
      <c r="AF16" s="136"/>
      <c r="AG16" s="136"/>
      <c r="AH16" s="136"/>
      <c r="AI16" s="136"/>
      <c r="AJ16" s="136"/>
      <c r="AK16" s="136"/>
      <c r="AL16" s="136"/>
      <c r="AM16" s="136"/>
      <c r="AN16" s="136"/>
      <c r="AO16" s="136"/>
      <c r="AP16" s="136"/>
      <c r="AQ16" s="136"/>
      <c r="AR16" s="137"/>
    </row>
    <row r="17" spans="1:44" ht="13.5" customHeight="1">
      <c r="N17" s="69"/>
      <c r="O17" s="387"/>
      <c r="P17" s="132"/>
      <c r="Q17" s="136"/>
      <c r="R17" s="136"/>
      <c r="S17" s="136"/>
      <c r="T17" s="136"/>
      <c r="U17" s="136"/>
      <c r="V17" s="136"/>
      <c r="W17" s="132"/>
      <c r="X17" s="132"/>
      <c r="Y17" s="136"/>
      <c r="Z17" s="136"/>
      <c r="AA17" s="136"/>
      <c r="AB17" s="136"/>
      <c r="AC17" s="136"/>
      <c r="AD17" s="136"/>
      <c r="AE17" s="136"/>
      <c r="AF17" s="136"/>
      <c r="AG17" s="136"/>
      <c r="AH17" s="136"/>
      <c r="AI17" s="136"/>
      <c r="AJ17" s="136"/>
      <c r="AK17" s="136"/>
      <c r="AL17" s="136"/>
      <c r="AM17" s="136"/>
      <c r="AN17" s="136"/>
      <c r="AO17" s="136"/>
      <c r="AP17" s="136"/>
      <c r="AQ17" s="136"/>
      <c r="AR17" s="137"/>
    </row>
    <row r="18" spans="1:44" ht="32.1" customHeight="1">
      <c r="N18" s="69"/>
      <c r="O18" s="387"/>
      <c r="P18" s="132"/>
      <c r="Q18" s="131"/>
      <c r="R18" s="131"/>
      <c r="S18" s="131"/>
      <c r="T18" s="131"/>
      <c r="U18" s="131"/>
      <c r="V18" s="131"/>
      <c r="W18" s="132"/>
      <c r="X18" s="132"/>
      <c r="Y18" s="136"/>
      <c r="Z18" s="136"/>
      <c r="AA18" s="136"/>
      <c r="AB18" s="136"/>
      <c r="AC18" s="136"/>
      <c r="AD18" s="136"/>
      <c r="AE18" s="136"/>
      <c r="AF18" s="136"/>
      <c r="AG18" s="136"/>
      <c r="AH18" s="136"/>
      <c r="AI18" s="136"/>
      <c r="AJ18" s="136"/>
      <c r="AK18" s="136"/>
      <c r="AL18" s="136"/>
      <c r="AM18" s="136"/>
      <c r="AN18" s="136"/>
      <c r="AO18" s="136"/>
      <c r="AP18" s="136"/>
      <c r="AQ18" s="136"/>
      <c r="AR18" s="137"/>
    </row>
    <row r="19" spans="1:44" ht="13.5" customHeight="1">
      <c r="O19" s="387"/>
      <c r="P19" s="136"/>
      <c r="Q19" s="136"/>
      <c r="R19" s="136"/>
      <c r="S19" s="136"/>
      <c r="T19" s="136"/>
      <c r="U19" s="136"/>
      <c r="V19" s="136"/>
      <c r="W19" s="136"/>
      <c r="X19" s="136"/>
      <c r="Y19" s="136"/>
      <c r="Z19" s="136"/>
      <c r="AA19" s="136"/>
      <c r="AB19" s="136"/>
      <c r="AC19" s="131"/>
      <c r="AD19" s="131"/>
      <c r="AE19" s="131"/>
      <c r="AF19" s="131"/>
      <c r="AG19" s="131"/>
      <c r="AH19" s="131"/>
      <c r="AI19" s="136"/>
      <c r="AJ19" s="136"/>
      <c r="AK19" s="136"/>
      <c r="AL19" s="136"/>
      <c r="AM19" s="136"/>
      <c r="AN19" s="136"/>
      <c r="AO19" s="136"/>
      <c r="AP19" s="136"/>
      <c r="AQ19" s="136"/>
      <c r="AR19" s="137"/>
    </row>
    <row r="20" spans="1:44">
      <c r="O20" s="387"/>
      <c r="P20" s="136"/>
      <c r="Q20" s="136"/>
      <c r="R20" s="136"/>
      <c r="S20" s="136"/>
      <c r="T20" s="136"/>
      <c r="U20" s="136"/>
      <c r="V20" s="136"/>
      <c r="W20" s="136"/>
      <c r="X20" s="136"/>
      <c r="Y20" s="136"/>
      <c r="Z20" s="136"/>
      <c r="AA20" s="136"/>
      <c r="AB20" s="136"/>
      <c r="AC20" s="136"/>
      <c r="AD20" s="136"/>
      <c r="AE20" s="136"/>
      <c r="AF20" s="136"/>
      <c r="AG20" s="136"/>
      <c r="AH20" s="136"/>
      <c r="AI20" s="136"/>
      <c r="AJ20" s="136"/>
      <c r="AK20" s="136"/>
      <c r="AL20" s="136"/>
      <c r="AM20" s="136"/>
      <c r="AN20" s="136"/>
      <c r="AO20" s="136"/>
      <c r="AP20" s="136"/>
      <c r="AQ20" s="136"/>
      <c r="AR20" s="137"/>
    </row>
    <row r="21" spans="1:44">
      <c r="O21" s="387"/>
      <c r="P21" s="136"/>
      <c r="Q21" s="136"/>
      <c r="R21" s="136"/>
      <c r="S21" s="136"/>
      <c r="T21" s="136"/>
      <c r="U21" s="136"/>
      <c r="V21" s="136"/>
      <c r="W21" s="136"/>
      <c r="X21" s="136"/>
      <c r="Y21" s="136"/>
      <c r="Z21" s="136"/>
      <c r="AA21" s="136"/>
      <c r="AB21" s="136"/>
      <c r="AC21" s="131"/>
      <c r="AD21" s="131"/>
      <c r="AE21" s="131"/>
      <c r="AF21" s="131"/>
      <c r="AG21" s="131"/>
      <c r="AH21" s="131"/>
      <c r="AI21" s="136"/>
      <c r="AJ21" s="136"/>
      <c r="AK21" s="136"/>
      <c r="AL21" s="136"/>
      <c r="AM21" s="136"/>
      <c r="AN21" s="136"/>
      <c r="AO21" s="136"/>
      <c r="AP21" s="136"/>
      <c r="AQ21" s="136"/>
      <c r="AR21" s="137"/>
    </row>
    <row r="22" spans="1:44" ht="13.5" customHeight="1">
      <c r="O22" s="387"/>
      <c r="P22" s="136"/>
      <c r="Q22" s="136"/>
      <c r="R22" s="136"/>
      <c r="S22" s="136"/>
      <c r="T22" s="136"/>
      <c r="U22" s="136"/>
      <c r="V22" s="136"/>
      <c r="W22" s="136"/>
      <c r="X22" s="136"/>
      <c r="Y22" s="136"/>
      <c r="Z22" s="136"/>
      <c r="AA22" s="136"/>
      <c r="AB22" s="136"/>
      <c r="AC22" s="136"/>
      <c r="AD22" s="136"/>
      <c r="AE22" s="136"/>
      <c r="AF22" s="136"/>
      <c r="AG22" s="132"/>
      <c r="AH22" s="132"/>
      <c r="AI22" s="132"/>
      <c r="AJ22" s="132"/>
      <c r="AK22" s="132"/>
      <c r="AL22" s="132"/>
      <c r="AM22" s="132"/>
      <c r="AN22" s="132"/>
      <c r="AO22" s="132"/>
      <c r="AP22" s="132"/>
      <c r="AQ22" s="136"/>
      <c r="AR22" s="137"/>
    </row>
    <row r="23" spans="1:44">
      <c r="O23" s="387"/>
      <c r="P23" s="136"/>
      <c r="Q23" s="136"/>
      <c r="R23" s="136"/>
      <c r="S23" s="136"/>
      <c r="T23" s="136"/>
      <c r="U23" s="136"/>
      <c r="V23" s="136"/>
      <c r="W23" s="136"/>
      <c r="X23" s="136"/>
      <c r="Y23" s="136"/>
      <c r="Z23" s="136"/>
      <c r="AA23" s="136"/>
      <c r="AB23" s="136"/>
      <c r="AC23" s="136"/>
      <c r="AD23" s="136"/>
      <c r="AE23" s="136"/>
      <c r="AF23" s="136"/>
      <c r="AG23" s="132"/>
      <c r="AH23" s="132"/>
      <c r="AI23" s="132"/>
      <c r="AJ23" s="132"/>
      <c r="AK23" s="132"/>
      <c r="AL23" s="132"/>
      <c r="AM23" s="132"/>
      <c r="AN23" s="132"/>
      <c r="AO23" s="132"/>
      <c r="AP23" s="132"/>
      <c r="AQ23" s="136"/>
      <c r="AR23" s="137"/>
    </row>
    <row r="24" spans="1:44">
      <c r="O24" s="387"/>
      <c r="P24" s="136"/>
      <c r="Q24" s="136"/>
      <c r="R24" s="136"/>
      <c r="S24" s="136"/>
      <c r="T24" s="136"/>
      <c r="U24" s="136"/>
      <c r="V24" s="136"/>
      <c r="W24" s="136"/>
      <c r="X24" s="136"/>
      <c r="Y24" s="136"/>
      <c r="Z24" s="136"/>
      <c r="AA24" s="136"/>
      <c r="AB24" s="136"/>
      <c r="AC24" s="136"/>
      <c r="AD24" s="136"/>
      <c r="AE24" s="136"/>
      <c r="AF24" s="136"/>
      <c r="AG24" s="136"/>
      <c r="AH24" s="136"/>
      <c r="AI24" s="136"/>
      <c r="AJ24" s="136"/>
      <c r="AK24" s="136"/>
      <c r="AL24" s="136"/>
      <c r="AM24" s="136"/>
      <c r="AN24" s="136"/>
      <c r="AO24" s="136"/>
      <c r="AP24" s="136"/>
      <c r="AQ24" s="136"/>
      <c r="AR24" s="137"/>
    </row>
    <row r="25" spans="1:44">
      <c r="O25" s="387"/>
      <c r="P25" s="136"/>
      <c r="Q25" s="136"/>
      <c r="R25" s="136"/>
      <c r="S25" s="136"/>
      <c r="T25" s="136"/>
      <c r="U25" s="136"/>
      <c r="V25" s="136"/>
      <c r="W25" s="136"/>
      <c r="X25" s="136"/>
      <c r="Y25" s="136"/>
      <c r="Z25" s="136"/>
      <c r="AA25" s="136"/>
      <c r="AB25" s="136"/>
      <c r="AC25" s="136"/>
      <c r="AD25" s="136"/>
      <c r="AE25" s="136"/>
      <c r="AF25" s="136"/>
      <c r="AG25" s="136"/>
      <c r="AH25" s="136"/>
      <c r="AI25" s="136"/>
      <c r="AJ25" s="136"/>
      <c r="AK25" s="136"/>
      <c r="AL25" s="136"/>
      <c r="AM25" s="136"/>
      <c r="AN25" s="136"/>
      <c r="AO25" s="136"/>
      <c r="AP25" s="136"/>
      <c r="AQ25" s="136"/>
      <c r="AR25" s="137"/>
    </row>
    <row r="26" spans="1:44">
      <c r="A26" s="55" t="s">
        <v>2</v>
      </c>
      <c r="B26" s="54" t="s">
        <v>78</v>
      </c>
      <c r="C26" s="55" t="s">
        <v>79</v>
      </c>
      <c r="D26" s="55" t="s">
        <v>80</v>
      </c>
      <c r="E26" s="55" t="s">
        <v>81</v>
      </c>
      <c r="F26" s="55" t="s">
        <v>82</v>
      </c>
      <c r="G26" s="55"/>
      <c r="H26" s="55"/>
      <c r="I26" s="55"/>
      <c r="J26" s="55"/>
      <c r="K26" s="55"/>
      <c r="L26" s="55"/>
      <c r="M26" s="55"/>
      <c r="O26" s="387"/>
      <c r="P26" s="136"/>
      <c r="Q26" s="136"/>
      <c r="R26" s="136"/>
      <c r="S26" s="136"/>
      <c r="T26" s="136"/>
      <c r="U26" s="136"/>
      <c r="V26" s="136"/>
      <c r="W26" s="136"/>
      <c r="X26" s="136"/>
      <c r="Y26" s="136"/>
      <c r="Z26" s="136"/>
      <c r="AA26" s="136"/>
      <c r="AB26" s="136"/>
      <c r="AC26" s="136"/>
      <c r="AD26" s="136"/>
      <c r="AE26" s="136"/>
      <c r="AF26" s="136"/>
      <c r="AG26" s="136"/>
      <c r="AH26" s="136"/>
      <c r="AI26" s="136"/>
      <c r="AJ26" s="136"/>
      <c r="AK26" s="136"/>
      <c r="AL26" s="136"/>
      <c r="AM26" s="136"/>
      <c r="AN26" s="136"/>
      <c r="AO26" s="136"/>
      <c r="AP26" s="136"/>
      <c r="AQ26" s="136"/>
      <c r="AR26" s="137"/>
    </row>
    <row r="27" spans="1:44" ht="27" customHeight="1" thickBot="1">
      <c r="A27" s="57" t="s">
        <v>83</v>
      </c>
      <c r="B27" s="40">
        <f>IFERROR(SUMIF('3. Scan'!C:C,A27,'3. Scan'!K:K)/(5*SUMIF('3. Scan'!C:C,A27,'3. Scan'!J:J)),"")</f>
        <v>0.2</v>
      </c>
      <c r="C27" s="40">
        <f>IF(B27&lt;0.33,B27,"")</f>
        <v>0.2</v>
      </c>
      <c r="D27" s="40" t="str">
        <f>IF(AND(B27&gt;=0.33,B27&lt;0.5),B27,"")</f>
        <v/>
      </c>
      <c r="E27" s="40" t="str">
        <f>IF(AND(B27&gt;=0.5,B27&lt;=0.75),B27,"")</f>
        <v/>
      </c>
      <c r="F27" s="40" t="str">
        <f>IF(B27&gt;0.75,B27,"")</f>
        <v/>
      </c>
      <c r="M27" s="58"/>
      <c r="O27" s="388"/>
      <c r="P27" s="382" t="s">
        <v>749</v>
      </c>
      <c r="Q27" s="383"/>
      <c r="R27" s="383"/>
      <c r="S27" s="383"/>
      <c r="T27" s="383"/>
      <c r="U27" s="383"/>
      <c r="V27" s="383"/>
      <c r="W27" s="383"/>
      <c r="X27" s="384"/>
      <c r="Y27" s="138"/>
      <c r="Z27" s="138"/>
      <c r="AA27" s="385" t="s">
        <v>750</v>
      </c>
      <c r="AB27" s="385"/>
      <c r="AC27" s="385"/>
      <c r="AD27" s="385"/>
      <c r="AE27" s="385"/>
      <c r="AF27" s="385"/>
      <c r="AG27" s="385"/>
      <c r="AH27" s="385"/>
      <c r="AI27" s="385"/>
      <c r="AJ27" s="385"/>
      <c r="AK27" s="138"/>
      <c r="AL27" s="138"/>
      <c r="AM27" s="138"/>
      <c r="AN27" s="138"/>
      <c r="AO27" s="138"/>
      <c r="AP27" s="138"/>
      <c r="AQ27" s="138"/>
      <c r="AR27" s="139"/>
    </row>
    <row r="28" spans="1:44" ht="45" customHeight="1" thickBot="1">
      <c r="A28" s="57" t="s">
        <v>17</v>
      </c>
      <c r="B28" s="40">
        <f>IFERROR(SUMIF('3. Scan'!C:C,A28,'3. Scan'!K:K)/(5*SUMIF('3. Scan'!C:C,A28,'3. Scan'!J:J)),"")</f>
        <v>0.2</v>
      </c>
      <c r="C28" s="40">
        <f t="shared" ref="C28:C34" si="0">IF(B28&lt;0.33,B28,"")</f>
        <v>0.2</v>
      </c>
      <c r="D28" s="40" t="str">
        <f t="shared" ref="D28:D34" si="1">IF(AND(B28&gt;=0.33,B28&lt;0.5),B28,"")</f>
        <v/>
      </c>
      <c r="E28" s="40" t="str">
        <f t="shared" ref="E28:E34" si="2">IF(AND(B28&gt;=0.5,B28&lt;=0.75),B28,"")</f>
        <v/>
      </c>
      <c r="F28" s="40" t="str">
        <f t="shared" ref="F28:F34" si="3">IF(B28&gt;0.75,B28,"")</f>
        <v/>
      </c>
      <c r="M28" s="58"/>
      <c r="P28" s="72"/>
      <c r="Q28" s="72"/>
      <c r="R28" s="72"/>
      <c r="S28" s="72"/>
      <c r="T28" s="72"/>
      <c r="U28" s="72"/>
    </row>
    <row r="29" spans="1:44" ht="27" customHeight="1">
      <c r="A29" s="57" t="s">
        <v>28</v>
      </c>
      <c r="B29" s="40">
        <f>IFERROR(SUMIF('3. Scan'!C:C,A29,'3. Scan'!K:K)/(5*SUMIF('3. Scan'!C:C,A29,'3. Scan'!J:J)),"")</f>
        <v>0.2</v>
      </c>
      <c r="C29" s="40">
        <f t="shared" si="0"/>
        <v>0.2</v>
      </c>
      <c r="D29" s="40" t="str">
        <f t="shared" si="1"/>
        <v/>
      </c>
      <c r="E29" s="40" t="str">
        <f t="shared" si="2"/>
        <v/>
      </c>
      <c r="F29" s="40" t="str">
        <f t="shared" si="3"/>
        <v/>
      </c>
      <c r="M29" s="58"/>
      <c r="O29" s="386" t="s">
        <v>845</v>
      </c>
      <c r="P29" s="134"/>
      <c r="Q29" s="134"/>
      <c r="R29" s="134"/>
      <c r="S29" s="134"/>
      <c r="T29" s="134"/>
      <c r="U29" s="134"/>
      <c r="V29" s="134"/>
      <c r="W29" s="134"/>
      <c r="X29" s="134"/>
      <c r="Y29" s="134"/>
      <c r="Z29" s="134"/>
      <c r="AA29" s="134"/>
      <c r="AB29" s="134"/>
      <c r="AC29" s="134"/>
      <c r="AD29" s="134"/>
      <c r="AE29" s="134"/>
      <c r="AF29" s="134"/>
      <c r="AG29" s="134"/>
      <c r="AH29" s="134"/>
      <c r="AI29" s="134"/>
      <c r="AJ29" s="134"/>
      <c r="AK29" s="134"/>
      <c r="AL29" s="134"/>
      <c r="AM29" s="134"/>
      <c r="AN29" s="134"/>
      <c r="AO29" s="134"/>
      <c r="AP29" s="134"/>
      <c r="AQ29" s="134"/>
      <c r="AR29" s="135"/>
    </row>
    <row r="30" spans="1:44" ht="13.5" customHeight="1">
      <c r="A30" s="57" t="s">
        <v>35</v>
      </c>
      <c r="B30" s="40">
        <f>IFERROR(SUMIF('3. Scan'!C:C,A30,'3. Scan'!K:K)/(5*SUMIF('3. Scan'!C:C,A30,'3. Scan'!J:J)),"")</f>
        <v>0.2</v>
      </c>
      <c r="C30" s="40">
        <f t="shared" si="0"/>
        <v>0.2</v>
      </c>
      <c r="D30" s="40" t="str">
        <f t="shared" si="1"/>
        <v/>
      </c>
      <c r="E30" s="40" t="str">
        <f t="shared" si="2"/>
        <v/>
      </c>
      <c r="F30" s="40" t="str">
        <f t="shared" si="3"/>
        <v/>
      </c>
      <c r="M30" s="58"/>
      <c r="O30" s="387"/>
      <c r="P30" s="136"/>
      <c r="Q30" s="136"/>
      <c r="R30" s="136"/>
      <c r="S30" s="136"/>
      <c r="T30" s="136"/>
      <c r="U30" s="136"/>
      <c r="V30" s="136"/>
      <c r="W30" s="136"/>
      <c r="X30" s="136"/>
      <c r="Y30" s="136"/>
      <c r="Z30" s="136"/>
      <c r="AA30" s="136"/>
      <c r="AB30" s="136"/>
      <c r="AC30" s="136"/>
      <c r="AD30" s="136"/>
      <c r="AE30" s="136"/>
      <c r="AF30" s="136"/>
      <c r="AG30" s="136"/>
      <c r="AH30" s="136"/>
      <c r="AI30" s="136"/>
      <c r="AJ30" s="136"/>
      <c r="AK30" s="136"/>
      <c r="AL30" s="136"/>
      <c r="AM30" s="136"/>
      <c r="AN30" s="136"/>
      <c r="AO30" s="136"/>
      <c r="AP30" s="136"/>
      <c r="AQ30" s="136"/>
      <c r="AR30" s="137"/>
    </row>
    <row r="31" spans="1:44" ht="13.5" customHeight="1">
      <c r="A31" s="57" t="s">
        <v>50</v>
      </c>
      <c r="B31" s="40">
        <f>IFERROR(SUMIF('3. Scan'!C:C,A31,'3. Scan'!K:K)/(5*SUMIF('3. Scan'!C:C,A31,'3. Scan'!J:J)),"")</f>
        <v>0.2</v>
      </c>
      <c r="C31" s="40">
        <f t="shared" si="0"/>
        <v>0.2</v>
      </c>
      <c r="D31" s="40" t="str">
        <f t="shared" si="1"/>
        <v/>
      </c>
      <c r="E31" s="40" t="str">
        <f t="shared" si="2"/>
        <v/>
      </c>
      <c r="F31" s="40" t="str">
        <f t="shared" si="3"/>
        <v/>
      </c>
      <c r="M31" s="58"/>
      <c r="O31" s="387"/>
      <c r="P31" s="136"/>
      <c r="Q31" s="136"/>
      <c r="R31" s="136"/>
      <c r="S31" s="136"/>
      <c r="T31" s="136"/>
      <c r="U31" s="136"/>
      <c r="V31" s="136"/>
      <c r="W31" s="136"/>
      <c r="X31" s="136"/>
      <c r="Y31" s="136"/>
      <c r="Z31" s="136"/>
      <c r="AA31" s="136"/>
      <c r="AB31" s="136"/>
      <c r="AC31" s="136"/>
      <c r="AD31" s="136"/>
      <c r="AE31" s="136"/>
      <c r="AF31" s="136"/>
      <c r="AG31" s="136"/>
      <c r="AH31" s="136"/>
      <c r="AI31" s="136"/>
      <c r="AJ31" s="136"/>
      <c r="AK31" s="136"/>
      <c r="AL31" s="136"/>
      <c r="AM31" s="136"/>
      <c r="AN31" s="136"/>
      <c r="AO31" s="136"/>
      <c r="AP31" s="136"/>
      <c r="AQ31" s="136"/>
      <c r="AR31" s="137"/>
    </row>
    <row r="32" spans="1:44" ht="28.5">
      <c r="A32" s="57" t="s">
        <v>56</v>
      </c>
      <c r="B32" s="40">
        <f>IFERROR(SUMIF('3. Scan'!C:C,A32,'3. Scan'!K:K)/(5*SUMIF('3. Scan'!C:C,A32,'3. Scan'!J:J)),"")</f>
        <v>0.2</v>
      </c>
      <c r="C32" s="40">
        <f t="shared" si="0"/>
        <v>0.2</v>
      </c>
      <c r="D32" s="40" t="str">
        <f t="shared" si="1"/>
        <v/>
      </c>
      <c r="E32" s="40" t="str">
        <f t="shared" si="2"/>
        <v/>
      </c>
      <c r="F32" s="40" t="str">
        <f t="shared" si="3"/>
        <v/>
      </c>
      <c r="M32" s="58"/>
      <c r="O32" s="387"/>
      <c r="P32" s="136"/>
      <c r="Q32" s="136"/>
      <c r="R32" s="136"/>
      <c r="S32" s="136"/>
      <c r="T32" s="136"/>
      <c r="U32" s="136"/>
      <c r="V32" s="136"/>
      <c r="W32" s="136"/>
      <c r="X32" s="136"/>
      <c r="Y32" s="136"/>
      <c r="Z32" s="136"/>
      <c r="AA32" s="136"/>
      <c r="AB32" s="136"/>
      <c r="AC32" s="136"/>
      <c r="AD32" s="136"/>
      <c r="AE32" s="136"/>
      <c r="AF32" s="136"/>
      <c r="AG32" s="136"/>
      <c r="AH32" s="136"/>
      <c r="AI32" s="136"/>
      <c r="AJ32" s="136"/>
      <c r="AK32" s="136"/>
      <c r="AL32" s="136"/>
      <c r="AM32" s="136"/>
      <c r="AN32" s="136"/>
      <c r="AO32" s="136"/>
      <c r="AP32" s="136"/>
      <c r="AQ32" s="136"/>
      <c r="AR32" s="137"/>
    </row>
    <row r="33" spans="1:46" ht="13.5" customHeight="1">
      <c r="A33" s="57" t="s">
        <v>63</v>
      </c>
      <c r="B33" s="40">
        <f>IFERROR(SUMIF('3. Scan'!C:C,A33,'3. Scan'!K:K)/(5*SUMIF('3. Scan'!C:C,A33,'3. Scan'!J:J)),"")</f>
        <v>0.2</v>
      </c>
      <c r="C33" s="40">
        <f t="shared" si="0"/>
        <v>0.2</v>
      </c>
      <c r="D33" s="40" t="str">
        <f t="shared" si="1"/>
        <v/>
      </c>
      <c r="E33" s="40" t="str">
        <f t="shared" si="2"/>
        <v/>
      </c>
      <c r="F33" s="40" t="str">
        <f t="shared" si="3"/>
        <v/>
      </c>
      <c r="M33" s="58"/>
      <c r="O33" s="387"/>
      <c r="P33" s="136"/>
      <c r="Q33" s="136"/>
      <c r="R33" s="136"/>
      <c r="S33" s="136"/>
      <c r="T33" s="136"/>
      <c r="U33" s="136"/>
      <c r="V33" s="136"/>
      <c r="W33" s="136"/>
      <c r="X33" s="136"/>
      <c r="Y33" s="136"/>
      <c r="Z33" s="136"/>
      <c r="AA33" s="136"/>
      <c r="AB33" s="136"/>
      <c r="AC33" s="136"/>
      <c r="AD33" s="136"/>
      <c r="AE33" s="136"/>
      <c r="AF33" s="136"/>
      <c r="AG33" s="136"/>
      <c r="AH33" s="136"/>
      <c r="AI33" s="136"/>
      <c r="AJ33" s="136"/>
      <c r="AK33" s="136"/>
      <c r="AL33" s="136"/>
      <c r="AM33" s="136"/>
      <c r="AN33" s="136"/>
      <c r="AO33" s="136"/>
      <c r="AP33" s="136"/>
      <c r="AQ33" s="136"/>
      <c r="AR33" s="137"/>
    </row>
    <row r="34" spans="1:46" ht="27" customHeight="1">
      <c r="A34" s="57" t="s">
        <v>70</v>
      </c>
      <c r="B34" s="40">
        <f>IFERROR(SUMIF('3. Scan'!C:C,A34,'3. Scan'!K:K)/(5*SUMIF('3. Scan'!C:C,A34,'3. Scan'!J:J)),"")</f>
        <v>0.2</v>
      </c>
      <c r="C34" s="40">
        <f t="shared" si="0"/>
        <v>0.2</v>
      </c>
      <c r="D34" s="40" t="str">
        <f t="shared" si="1"/>
        <v/>
      </c>
      <c r="E34" s="40" t="str">
        <f t="shared" si="2"/>
        <v/>
      </c>
      <c r="F34" s="40" t="str">
        <f t="shared" si="3"/>
        <v/>
      </c>
      <c r="M34" s="58"/>
      <c r="O34" s="387"/>
      <c r="P34" s="136"/>
      <c r="Q34" s="136"/>
      <c r="R34" s="136"/>
      <c r="S34" s="136"/>
      <c r="T34" s="136"/>
      <c r="U34" s="136"/>
      <c r="V34" s="136"/>
      <c r="W34" s="136"/>
      <c r="X34" s="136"/>
      <c r="Y34" s="136"/>
      <c r="Z34" s="136"/>
      <c r="AA34" s="136"/>
      <c r="AB34" s="136"/>
      <c r="AC34" s="136"/>
      <c r="AD34" s="136"/>
      <c r="AE34" s="136"/>
      <c r="AF34" s="136"/>
      <c r="AG34" s="136"/>
      <c r="AH34" s="136"/>
      <c r="AI34" s="136"/>
      <c r="AJ34" s="136"/>
      <c r="AK34" s="136"/>
      <c r="AL34" s="136"/>
      <c r="AM34" s="136"/>
      <c r="AN34" s="136"/>
      <c r="AO34" s="136"/>
      <c r="AP34" s="136"/>
      <c r="AQ34" s="136"/>
      <c r="AR34" s="137"/>
    </row>
    <row r="35" spans="1:46" ht="13.5" customHeight="1">
      <c r="O35" s="387"/>
      <c r="P35" s="136"/>
      <c r="Q35" s="131"/>
      <c r="R35" s="131"/>
      <c r="S35" s="131"/>
      <c r="T35" s="131"/>
      <c r="U35" s="131"/>
      <c r="V35" s="131"/>
      <c r="W35" s="136"/>
      <c r="X35" s="136"/>
      <c r="Y35" s="136"/>
      <c r="Z35" s="136"/>
      <c r="AA35" s="136"/>
      <c r="AB35" s="136"/>
      <c r="AC35" s="136"/>
      <c r="AD35" s="136"/>
      <c r="AE35" s="136"/>
      <c r="AF35" s="136"/>
      <c r="AG35" s="136"/>
      <c r="AH35" s="136"/>
      <c r="AI35" s="136"/>
      <c r="AJ35" s="136"/>
      <c r="AK35" s="136"/>
      <c r="AL35" s="136"/>
      <c r="AM35" s="136"/>
      <c r="AN35" s="136"/>
      <c r="AO35" s="136"/>
      <c r="AP35" s="136"/>
      <c r="AQ35" s="136"/>
      <c r="AR35" s="137"/>
    </row>
    <row r="36" spans="1:46" ht="13.5" customHeight="1">
      <c r="A36" s="403" t="s">
        <v>762</v>
      </c>
      <c r="B36" s="403"/>
      <c r="C36" s="85"/>
      <c r="D36" s="85"/>
      <c r="E36" s="85"/>
      <c r="F36" s="85"/>
      <c r="G36" s="85"/>
      <c r="H36" s="85"/>
      <c r="I36" s="85"/>
      <c r="J36" s="85"/>
      <c r="K36" s="85"/>
      <c r="L36" s="85"/>
      <c r="O36" s="387"/>
      <c r="P36" s="136"/>
      <c r="Q36" s="131"/>
      <c r="R36" s="131"/>
      <c r="S36" s="131"/>
      <c r="T36" s="131"/>
      <c r="U36" s="131"/>
      <c r="V36" s="131"/>
      <c r="W36" s="136"/>
      <c r="X36" s="136"/>
      <c r="Y36" s="136"/>
      <c r="Z36" s="136"/>
      <c r="AA36" s="136"/>
      <c r="AB36" s="136"/>
      <c r="AC36" s="136"/>
      <c r="AD36" s="136"/>
      <c r="AE36" s="136"/>
      <c r="AF36" s="136"/>
      <c r="AG36" s="136"/>
      <c r="AH36" s="136"/>
      <c r="AI36" s="136"/>
      <c r="AJ36" s="136"/>
      <c r="AK36" s="136"/>
      <c r="AL36" s="136"/>
      <c r="AM36" s="136"/>
      <c r="AN36" s="136"/>
      <c r="AO36" s="136"/>
      <c r="AP36" s="136"/>
      <c r="AQ36" s="136"/>
      <c r="AR36" s="137"/>
    </row>
    <row r="37" spans="1:46" ht="24.6" customHeight="1">
      <c r="O37" s="387"/>
      <c r="P37" s="136"/>
      <c r="Q37" s="136"/>
      <c r="R37" s="136"/>
      <c r="S37" s="136"/>
      <c r="T37" s="136"/>
      <c r="U37" s="136"/>
      <c r="V37" s="136"/>
      <c r="W37" s="136"/>
      <c r="X37" s="136"/>
      <c r="Y37" s="136"/>
      <c r="Z37" s="136"/>
      <c r="AA37" s="136"/>
      <c r="AB37" s="131"/>
      <c r="AC37" s="131"/>
      <c r="AD37" s="131"/>
      <c r="AE37" s="131"/>
      <c r="AF37" s="131"/>
      <c r="AG37" s="131"/>
      <c r="AH37" s="136"/>
      <c r="AI37" s="136"/>
      <c r="AJ37" s="136"/>
      <c r="AK37" s="136"/>
      <c r="AL37" s="136"/>
      <c r="AM37" s="136"/>
      <c r="AN37" s="136"/>
      <c r="AO37" s="136"/>
      <c r="AP37" s="136"/>
      <c r="AQ37" s="136"/>
      <c r="AR37" s="137"/>
    </row>
    <row r="38" spans="1:46" ht="13.5" customHeight="1">
      <c r="O38" s="387"/>
      <c r="P38" s="136"/>
      <c r="Q38" s="136"/>
      <c r="R38" s="136"/>
      <c r="S38" s="136"/>
      <c r="T38" s="136"/>
      <c r="U38" s="136"/>
      <c r="V38" s="136"/>
      <c r="W38" s="136"/>
      <c r="X38" s="136"/>
      <c r="Y38" s="136"/>
      <c r="Z38" s="136"/>
      <c r="AA38" s="136"/>
      <c r="AB38" s="136"/>
      <c r="AC38" s="136"/>
      <c r="AD38" s="136"/>
      <c r="AE38" s="136"/>
      <c r="AF38" s="136"/>
      <c r="AG38" s="136"/>
      <c r="AH38" s="136"/>
      <c r="AI38" s="136"/>
      <c r="AJ38" s="136"/>
      <c r="AK38" s="136"/>
      <c r="AL38" s="136"/>
      <c r="AM38" s="136"/>
      <c r="AN38" s="136"/>
      <c r="AO38" s="136"/>
      <c r="AP38" s="136"/>
      <c r="AQ38" s="136"/>
      <c r="AR38" s="137"/>
    </row>
    <row r="39" spans="1:46" ht="13.5" customHeight="1">
      <c r="O39" s="387"/>
      <c r="P39" s="136"/>
      <c r="Q39" s="136"/>
      <c r="R39" s="136"/>
      <c r="S39" s="136"/>
      <c r="T39" s="136"/>
      <c r="U39" s="136"/>
      <c r="V39" s="136"/>
      <c r="W39" s="136"/>
      <c r="X39" s="136"/>
      <c r="Y39" s="136"/>
      <c r="Z39" s="136"/>
      <c r="AA39" s="136"/>
      <c r="AB39" s="136"/>
      <c r="AC39" s="136"/>
      <c r="AD39" s="136"/>
      <c r="AE39" s="136"/>
      <c r="AF39" s="136"/>
      <c r="AG39" s="136"/>
      <c r="AH39" s="136"/>
      <c r="AI39" s="136"/>
      <c r="AJ39" s="136"/>
      <c r="AK39" s="136"/>
      <c r="AL39" s="136"/>
      <c r="AM39" s="136"/>
      <c r="AN39" s="136"/>
      <c r="AO39" s="136"/>
      <c r="AP39" s="136"/>
      <c r="AQ39" s="136"/>
      <c r="AR39" s="137"/>
      <c r="AT39" s="40">
        <f>COUNTIF('3. Scan'!$G$2:$G$199,"*Conversie*")</f>
        <v>1</v>
      </c>
    </row>
    <row r="40" spans="1:46" ht="13.5" customHeight="1">
      <c r="A40" s="55" t="s">
        <v>392</v>
      </c>
      <c r="B40" s="54" t="s">
        <v>78</v>
      </c>
      <c r="C40" s="55" t="s">
        <v>79</v>
      </c>
      <c r="D40" s="55" t="s">
        <v>403</v>
      </c>
      <c r="E40" s="55" t="s">
        <v>404</v>
      </c>
      <c r="F40" s="55" t="s">
        <v>82</v>
      </c>
      <c r="G40" s="55"/>
      <c r="H40" s="55"/>
      <c r="I40" s="55"/>
      <c r="J40" s="55"/>
      <c r="K40" s="55"/>
      <c r="L40" s="55"/>
      <c r="M40" s="55"/>
      <c r="O40" s="387"/>
      <c r="P40" s="136"/>
      <c r="Q40" s="136"/>
      <c r="R40" s="136"/>
      <c r="S40" s="136"/>
      <c r="T40" s="136"/>
      <c r="U40" s="136"/>
      <c r="V40" s="136"/>
      <c r="W40" s="136"/>
      <c r="X40" s="136"/>
      <c r="Y40" s="136"/>
      <c r="Z40" s="136"/>
      <c r="AA40" s="136"/>
      <c r="AB40" s="136"/>
      <c r="AC40" s="136"/>
      <c r="AD40" s="136"/>
      <c r="AE40" s="136"/>
      <c r="AF40" s="136"/>
      <c r="AG40" s="136"/>
      <c r="AH40" s="136"/>
      <c r="AI40" s="136"/>
      <c r="AJ40" s="136"/>
      <c r="AK40" s="136"/>
      <c r="AL40" s="136"/>
      <c r="AM40" s="136"/>
      <c r="AN40" s="136"/>
      <c r="AO40" s="136"/>
      <c r="AP40" s="136"/>
      <c r="AQ40" s="136"/>
      <c r="AR40" s="137"/>
      <c r="AT40" s="40" cm="1">
        <f t="array" ref="AT40">SUMPRODUCT((ISNUMBER(SEARCH("Conversie",'3. Scan'!$G$2:$G$199)))*'3. Scan'!$K$2:$K$199)</f>
        <v>1</v>
      </c>
    </row>
    <row r="41" spans="1:46" ht="13.5" customHeight="1">
      <c r="A41" s="40" t="s">
        <v>397</v>
      </c>
      <c r="B41" s="40">
        <f>IFERROR(SUMIF('3. Scan'!F:F,A41,'3. Scan'!K:K)/(5*SUMIF('3. Scan'!F:F,A41,'3. Scan'!J:J)),"")</f>
        <v>0.2</v>
      </c>
      <c r="C41" s="40">
        <f t="shared" ref="C41:C46" si="4">IF($B41&lt;0.33,$B41,"")</f>
        <v>0.2</v>
      </c>
      <c r="D41" s="40" t="str">
        <f t="shared" ref="D41:D46" si="5">IF(AND($B41&gt;=0.33,$B41&lt;0.5),$B41,"")</f>
        <v/>
      </c>
      <c r="E41" s="40" t="str">
        <f t="shared" ref="E41:E46" si="6">IF(AND($B41&gt;=0.5,$B41&lt;0.8),$B41,"")</f>
        <v/>
      </c>
      <c r="F41" s="40" t="str">
        <f t="shared" ref="F41:F46" si="7">IF($B41&gt;=0.8,$B41,"")</f>
        <v/>
      </c>
      <c r="M41" s="56"/>
      <c r="O41" s="387"/>
      <c r="P41" s="136"/>
      <c r="Q41" s="136"/>
      <c r="R41" s="136"/>
      <c r="S41" s="136"/>
      <c r="T41" s="136"/>
      <c r="U41" s="136"/>
      <c r="V41" s="136"/>
      <c r="W41" s="136"/>
      <c r="X41" s="136"/>
      <c r="Y41" s="136"/>
      <c r="Z41" s="136"/>
      <c r="AA41" s="136"/>
      <c r="AB41" s="136"/>
      <c r="AC41" s="136"/>
      <c r="AD41" s="136"/>
      <c r="AE41" s="136"/>
      <c r="AF41" s="136"/>
      <c r="AG41" s="136"/>
      <c r="AH41" s="136"/>
      <c r="AI41" s="136"/>
      <c r="AJ41" s="136"/>
      <c r="AK41" s="136"/>
      <c r="AL41" s="136"/>
      <c r="AM41" s="136"/>
      <c r="AN41" s="136"/>
      <c r="AO41" s="136"/>
      <c r="AP41" s="136"/>
      <c r="AQ41" s="136"/>
      <c r="AR41" s="137"/>
    </row>
    <row r="42" spans="1:46" ht="13.5" customHeight="1">
      <c r="A42" s="40" t="s">
        <v>395</v>
      </c>
      <c r="B42" s="40">
        <f>IFERROR(SUMIF('3. Scan'!F:F,A42,'3. Scan'!K:K)/(5*SUMIF('3. Scan'!F:F,A42,'3. Scan'!J:J)),"")</f>
        <v>0.2</v>
      </c>
      <c r="C42" s="40">
        <f t="shared" si="4"/>
        <v>0.2</v>
      </c>
      <c r="D42" s="40" t="str">
        <f t="shared" si="5"/>
        <v/>
      </c>
      <c r="E42" s="40" t="str">
        <f t="shared" si="6"/>
        <v/>
      </c>
      <c r="F42" s="40" t="str">
        <f t="shared" si="7"/>
        <v/>
      </c>
      <c r="M42" s="56"/>
      <c r="O42" s="387"/>
      <c r="P42" s="136"/>
      <c r="Q42" s="136"/>
      <c r="R42" s="136"/>
      <c r="S42" s="136"/>
      <c r="T42" s="136"/>
      <c r="U42" s="136"/>
      <c r="V42" s="136"/>
      <c r="W42" s="136"/>
      <c r="X42" s="136"/>
      <c r="Y42" s="136"/>
      <c r="Z42" s="136"/>
      <c r="AA42" s="136"/>
      <c r="AB42" s="136"/>
      <c r="AC42" s="136"/>
      <c r="AD42" s="136"/>
      <c r="AE42" s="136"/>
      <c r="AF42" s="136"/>
      <c r="AG42" s="136"/>
      <c r="AH42" s="136"/>
      <c r="AI42" s="136"/>
      <c r="AJ42" s="136"/>
      <c r="AK42" s="136"/>
      <c r="AL42" s="136"/>
      <c r="AM42" s="136"/>
      <c r="AN42" s="136"/>
      <c r="AO42" s="136"/>
      <c r="AP42" s="136"/>
      <c r="AQ42" s="136"/>
      <c r="AR42" s="137"/>
    </row>
    <row r="43" spans="1:46" ht="14.1" customHeight="1" thickBot="1">
      <c r="A43" s="40" t="s">
        <v>400</v>
      </c>
      <c r="B43" s="40">
        <f>IFERROR(SUMIF('3. Scan'!F:F,A43,'3. Scan'!K:K)/(5*SUMIF('3. Scan'!F:F,A43,'3. Scan'!J:J)),"")</f>
        <v>0.2</v>
      </c>
      <c r="C43" s="40">
        <f t="shared" si="4"/>
        <v>0.2</v>
      </c>
      <c r="D43" s="40" t="str">
        <f t="shared" si="5"/>
        <v/>
      </c>
      <c r="E43" s="40" t="str">
        <f t="shared" si="6"/>
        <v/>
      </c>
      <c r="F43" s="40" t="str">
        <f t="shared" si="7"/>
        <v/>
      </c>
      <c r="M43" s="56"/>
      <c r="O43" s="387"/>
      <c r="P43" s="136"/>
      <c r="Q43" s="136"/>
      <c r="R43" s="136"/>
      <c r="S43" s="136"/>
      <c r="T43" s="136"/>
      <c r="U43" s="136"/>
      <c r="V43" s="136"/>
      <c r="W43" s="136"/>
      <c r="X43" s="136"/>
      <c r="Y43" s="136"/>
      <c r="Z43" s="136"/>
      <c r="AA43" s="136"/>
      <c r="AB43" s="136"/>
      <c r="AC43" s="136"/>
      <c r="AD43" s="136"/>
      <c r="AE43" s="136"/>
      <c r="AF43" s="136"/>
      <c r="AG43" s="136"/>
      <c r="AH43" s="136"/>
      <c r="AI43" s="136"/>
      <c r="AJ43" s="136"/>
      <c r="AK43" s="136"/>
      <c r="AL43" s="136"/>
      <c r="AM43" s="136"/>
      <c r="AN43" s="136"/>
      <c r="AO43" s="136"/>
      <c r="AP43" s="136"/>
      <c r="AQ43" s="136"/>
      <c r="AR43" s="137"/>
    </row>
    <row r="44" spans="1:46" ht="14.45" customHeight="1">
      <c r="A44" s="40" t="s">
        <v>396</v>
      </c>
      <c r="B44" s="40">
        <f>IFERROR(SUMIF('3. Scan'!F:F,A44,'3. Scan'!K:K)/(5*SUMIF('3. Scan'!F:F,A44,'3. Scan'!J:J)),"")</f>
        <v>0.2</v>
      </c>
      <c r="C44" s="40">
        <f t="shared" si="4"/>
        <v>0.2</v>
      </c>
      <c r="D44" s="40" t="str">
        <f t="shared" si="5"/>
        <v/>
      </c>
      <c r="E44" s="40" t="str">
        <f t="shared" si="6"/>
        <v/>
      </c>
      <c r="F44" s="40" t="str">
        <f t="shared" si="7"/>
        <v/>
      </c>
      <c r="M44" s="56"/>
      <c r="O44" s="387"/>
      <c r="P44" s="423" t="s">
        <v>747</v>
      </c>
      <c r="Q44" s="424"/>
      <c r="R44" s="424"/>
      <c r="S44" s="424"/>
      <c r="T44" s="424"/>
      <c r="U44" s="424"/>
      <c r="V44" s="424"/>
      <c r="W44" s="424"/>
      <c r="X44" s="425"/>
      <c r="Y44" s="132"/>
      <c r="Z44" s="136"/>
      <c r="AA44" s="378" t="s">
        <v>748</v>
      </c>
      <c r="AB44" s="379"/>
      <c r="AC44" s="379"/>
      <c r="AD44" s="379"/>
      <c r="AE44" s="379"/>
      <c r="AF44" s="379"/>
      <c r="AG44" s="379"/>
      <c r="AH44" s="379"/>
      <c r="AI44" s="379"/>
      <c r="AJ44" s="379"/>
      <c r="AK44" s="136"/>
      <c r="AL44" s="136"/>
      <c r="AM44" s="136"/>
      <c r="AN44" s="136"/>
      <c r="AO44" s="136"/>
      <c r="AP44" s="136"/>
      <c r="AQ44" s="136"/>
      <c r="AR44" s="137"/>
    </row>
    <row r="45" spans="1:46" ht="14.1" customHeight="1" thickBot="1">
      <c r="A45" s="40" t="s">
        <v>393</v>
      </c>
      <c r="B45" s="40">
        <f>IFERROR(SUMIF('3. Scan'!F:F,A45,'3. Scan'!K:K)/(5*SUMIF('3. Scan'!F:F,A45,'3. Scan'!J:J)),"")</f>
        <v>0.2</v>
      </c>
      <c r="C45" s="40">
        <f t="shared" si="4"/>
        <v>0.2</v>
      </c>
      <c r="D45" s="40" t="str">
        <f t="shared" si="5"/>
        <v/>
      </c>
      <c r="E45" s="40" t="str">
        <f t="shared" si="6"/>
        <v/>
      </c>
      <c r="F45" s="40" t="str">
        <f t="shared" si="7"/>
        <v/>
      </c>
      <c r="M45" s="56"/>
      <c r="O45" s="387"/>
      <c r="P45" s="429"/>
      <c r="Q45" s="430"/>
      <c r="R45" s="430"/>
      <c r="S45" s="430"/>
      <c r="T45" s="430"/>
      <c r="U45" s="430"/>
      <c r="V45" s="430"/>
      <c r="W45" s="430"/>
      <c r="X45" s="431"/>
      <c r="Y45" s="132"/>
      <c r="Z45" s="136"/>
      <c r="AA45" s="380"/>
      <c r="AB45" s="381"/>
      <c r="AC45" s="381"/>
      <c r="AD45" s="381"/>
      <c r="AE45" s="381"/>
      <c r="AF45" s="381"/>
      <c r="AG45" s="381"/>
      <c r="AH45" s="381"/>
      <c r="AI45" s="381"/>
      <c r="AJ45" s="381"/>
      <c r="AK45" s="136"/>
      <c r="AL45" s="136"/>
      <c r="AM45" s="136"/>
      <c r="AN45" s="136"/>
      <c r="AO45" s="136"/>
      <c r="AP45" s="136"/>
      <c r="AQ45" s="136"/>
      <c r="AR45" s="137"/>
    </row>
    <row r="46" spans="1:46" ht="14.1" customHeight="1">
      <c r="A46" s="40" t="s">
        <v>394</v>
      </c>
      <c r="B46" s="40">
        <f>IFERROR(SUMIF('3. Scan'!F:F,A46,'3. Scan'!K:K)/(5*SUMIF('3. Scan'!F:F,A46,'3. Scan'!J:J)),"")</f>
        <v>0.2</v>
      </c>
      <c r="C46" s="40">
        <f t="shared" si="4"/>
        <v>0.2</v>
      </c>
      <c r="D46" s="40" t="str">
        <f t="shared" si="5"/>
        <v/>
      </c>
      <c r="E46" s="40" t="str">
        <f t="shared" si="6"/>
        <v/>
      </c>
      <c r="F46" s="40" t="str">
        <f t="shared" si="7"/>
        <v/>
      </c>
      <c r="M46" s="56"/>
      <c r="O46" s="387"/>
      <c r="P46" s="136"/>
      <c r="Q46" s="136"/>
      <c r="R46" s="136"/>
      <c r="S46" s="136"/>
      <c r="T46" s="136"/>
      <c r="U46" s="136"/>
      <c r="V46" s="136"/>
      <c r="W46" s="136"/>
      <c r="X46" s="136"/>
      <c r="Y46" s="136"/>
      <c r="Z46" s="136"/>
      <c r="AA46" s="136"/>
      <c r="AB46" s="136"/>
      <c r="AC46" s="136"/>
      <c r="AD46" s="136"/>
      <c r="AE46" s="136"/>
      <c r="AF46" s="136"/>
      <c r="AG46" s="136"/>
      <c r="AH46" s="136"/>
      <c r="AI46" s="136"/>
      <c r="AJ46" s="136"/>
      <c r="AK46" s="136"/>
      <c r="AL46" s="136"/>
      <c r="AM46" s="136"/>
      <c r="AN46" s="136"/>
      <c r="AO46" s="136"/>
      <c r="AP46" s="136"/>
      <c r="AQ46" s="136"/>
      <c r="AR46" s="137"/>
    </row>
    <row r="47" spans="1:46" ht="13.5" customHeight="1">
      <c r="A47" s="403" t="s">
        <v>763</v>
      </c>
      <c r="B47" s="403"/>
      <c r="C47" s="85"/>
      <c r="D47" s="85"/>
      <c r="E47" s="85"/>
      <c r="F47" s="85"/>
      <c r="G47" s="85"/>
      <c r="H47" s="85"/>
      <c r="I47" s="85"/>
      <c r="J47" s="85"/>
      <c r="K47" s="85"/>
      <c r="L47" s="85"/>
      <c r="O47" s="387"/>
      <c r="P47" s="136"/>
      <c r="Q47" s="136"/>
      <c r="R47" s="136"/>
      <c r="S47" s="136"/>
      <c r="T47" s="136"/>
      <c r="U47" s="136"/>
      <c r="V47" s="136"/>
      <c r="W47" s="136"/>
      <c r="X47" s="136"/>
      <c r="Y47" s="136"/>
      <c r="Z47" s="136"/>
      <c r="AA47" s="136"/>
      <c r="AB47" s="136"/>
      <c r="AC47" s="136"/>
      <c r="AD47" s="136"/>
      <c r="AE47" s="136"/>
      <c r="AF47" s="136"/>
      <c r="AG47" s="132"/>
      <c r="AH47" s="132"/>
      <c r="AI47" s="132"/>
      <c r="AJ47" s="132"/>
      <c r="AK47" s="132"/>
      <c r="AL47" s="132"/>
      <c r="AM47" s="132"/>
      <c r="AN47" s="132"/>
      <c r="AO47" s="132"/>
      <c r="AP47" s="132"/>
      <c r="AQ47" s="136"/>
      <c r="AR47" s="137"/>
    </row>
    <row r="48" spans="1:46" ht="13.5" customHeight="1">
      <c r="O48" s="387"/>
      <c r="P48" s="136"/>
      <c r="Q48" s="136"/>
      <c r="R48" s="136"/>
      <c r="S48" s="136"/>
      <c r="T48" s="136"/>
      <c r="U48" s="136"/>
      <c r="V48" s="136"/>
      <c r="W48" s="136"/>
      <c r="X48" s="136"/>
      <c r="Y48" s="136"/>
      <c r="Z48" s="136"/>
      <c r="AA48" s="136"/>
      <c r="AB48" s="136"/>
      <c r="AC48" s="136"/>
      <c r="AD48" s="136"/>
      <c r="AE48" s="136"/>
      <c r="AF48" s="136"/>
      <c r="AG48" s="132"/>
      <c r="AH48" s="132"/>
      <c r="AI48" s="132"/>
      <c r="AJ48" s="132"/>
      <c r="AK48" s="132"/>
      <c r="AL48" s="132"/>
      <c r="AM48" s="132"/>
      <c r="AN48" s="132"/>
      <c r="AO48" s="132"/>
      <c r="AP48" s="132"/>
      <c r="AQ48" s="136"/>
      <c r="AR48" s="137"/>
    </row>
    <row r="49" spans="1:44" ht="13.5" customHeight="1">
      <c r="A49" s="55" t="s">
        <v>412</v>
      </c>
      <c r="B49" s="55" t="s">
        <v>78</v>
      </c>
      <c r="C49" s="55" t="s">
        <v>79</v>
      </c>
      <c r="D49" s="55" t="s">
        <v>80</v>
      </c>
      <c r="E49" s="55" t="s">
        <v>81</v>
      </c>
      <c r="F49" s="59" t="s">
        <v>82</v>
      </c>
      <c r="G49" s="59"/>
      <c r="H49" s="59"/>
      <c r="I49" s="55" t="s">
        <v>412</v>
      </c>
      <c r="J49" s="55"/>
      <c r="K49" s="59"/>
      <c r="L49" s="59"/>
      <c r="M49" s="59"/>
      <c r="O49" s="387"/>
      <c r="P49" s="136"/>
      <c r="Q49" s="136"/>
      <c r="R49" s="136"/>
      <c r="S49" s="136"/>
      <c r="T49" s="136"/>
      <c r="U49" s="136"/>
      <c r="V49" s="136"/>
      <c r="W49" s="136"/>
      <c r="X49" s="136"/>
      <c r="Y49" s="136"/>
      <c r="Z49" s="136"/>
      <c r="AA49" s="136"/>
      <c r="AB49" s="136"/>
      <c r="AC49" s="136"/>
      <c r="AD49" s="136"/>
      <c r="AE49" s="136"/>
      <c r="AF49" s="136"/>
      <c r="AG49" s="136"/>
      <c r="AH49" s="136"/>
      <c r="AI49" s="136"/>
      <c r="AJ49" s="136"/>
      <c r="AK49" s="136"/>
      <c r="AL49" s="136"/>
      <c r="AM49" s="136"/>
      <c r="AN49" s="136"/>
      <c r="AO49" s="136"/>
      <c r="AP49" s="136"/>
      <c r="AQ49" s="136"/>
      <c r="AR49" s="137"/>
    </row>
    <row r="50" spans="1:44" ht="13.5" customHeight="1">
      <c r="A50" s="22" t="s">
        <v>93</v>
      </c>
      <c r="B50" s="70" cm="1">
        <f t="array" ref="B50">IFERROR(SUMPRODUCT((ISNUMBER(SEARCH(SUBSTITUTE($A50," ",""),SUBSTITUTE('3. Scan'!$G$2:$G$199," ",""))))*'3. Scan'!$K$2:$K$199)/(5*SUMPRODUCT((ISNUMBER(SEARCH(SUBSTITUTE($A50," ",""),SUBSTITUTE('3. Scan'!$G$2:$G$199," ",""))))*'3. Scan'!$J$2:$J$199)),"")</f>
        <v>0.2</v>
      </c>
      <c r="C50" s="40">
        <f>IF(B50&lt;0.33,B50,"")</f>
        <v>0.2</v>
      </c>
      <c r="D50" s="40" t="str">
        <f>IF(AND(B50&gt;=0.33,B50&lt;0.5),B50,"")</f>
        <v/>
      </c>
      <c r="E50" s="40" t="str">
        <f>IF(AND(B50&gt;=0.5,B50&lt;=0.75),B50,"")</f>
        <v/>
      </c>
      <c r="F50" s="40" t="str">
        <f>IF(B50&gt;0.75,B50,"")</f>
        <v/>
      </c>
      <c r="I50" s="22" t="s">
        <v>93</v>
      </c>
      <c r="O50" s="387"/>
      <c r="P50" s="136"/>
      <c r="Q50" s="136"/>
      <c r="R50" s="136"/>
      <c r="S50" s="136"/>
      <c r="T50" s="136"/>
      <c r="U50" s="136"/>
      <c r="V50" s="136"/>
      <c r="W50" s="136"/>
      <c r="X50" s="136"/>
      <c r="Y50" s="136"/>
      <c r="Z50" s="136"/>
      <c r="AA50" s="136"/>
      <c r="AB50" s="136"/>
      <c r="AC50" s="136"/>
      <c r="AD50" s="136"/>
      <c r="AE50" s="136"/>
      <c r="AF50" s="136"/>
      <c r="AG50" s="136"/>
      <c r="AH50" s="136"/>
      <c r="AI50" s="136"/>
      <c r="AJ50" s="136"/>
      <c r="AK50" s="136"/>
      <c r="AL50" s="136"/>
      <c r="AM50" s="136"/>
      <c r="AN50" s="136"/>
      <c r="AO50" s="136"/>
      <c r="AP50" s="136"/>
      <c r="AQ50" s="136"/>
      <c r="AR50" s="137"/>
    </row>
    <row r="51" spans="1:44" ht="13.5" customHeight="1">
      <c r="A51" s="22" t="s">
        <v>211</v>
      </c>
      <c r="B51" s="70" cm="1">
        <f t="array" ref="B51">IFERROR(SUMPRODUCT((ISNUMBER(SEARCH(SUBSTITUTE($A51," ",""),SUBSTITUTE('3. Scan'!$G$2:$G$199," ",""))))*'3. Scan'!$K$2:$K$199)/(5*SUMPRODUCT((ISNUMBER(SEARCH(SUBSTITUTE($A51," ",""),SUBSTITUTE('3. Scan'!$G$2:$G$199," ",""))))*'3. Scan'!$J$2:$J$199)),"")</f>
        <v>0.2</v>
      </c>
      <c r="C51" s="40">
        <f t="shared" ref="C51:C64" si="8">IF(B51&lt;0.33,B51,"")</f>
        <v>0.2</v>
      </c>
      <c r="D51" s="40" t="str">
        <f t="shared" ref="D51:D64" si="9">IF(AND(B51&gt;=0.33,B51&lt;0.5),B51,"")</f>
        <v/>
      </c>
      <c r="E51" s="40" t="str">
        <f t="shared" ref="E51:E64" si="10">IF(AND(B51&gt;=0.5,B51&lt;=0.75),B51,"")</f>
        <v/>
      </c>
      <c r="F51" s="40" t="str">
        <f t="shared" ref="F51:F64" si="11">IF(B51&gt;0.75,B51,"")</f>
        <v/>
      </c>
      <c r="I51" s="22" t="s">
        <v>211</v>
      </c>
      <c r="O51" s="387"/>
      <c r="P51" s="136"/>
      <c r="Q51" s="136"/>
      <c r="R51" s="136"/>
      <c r="S51" s="136"/>
      <c r="T51" s="136"/>
      <c r="U51" s="136"/>
      <c r="V51" s="136"/>
      <c r="W51" s="136"/>
      <c r="X51" s="136"/>
      <c r="Y51" s="136"/>
      <c r="Z51" s="136"/>
      <c r="AA51" s="136"/>
      <c r="AB51" s="136"/>
      <c r="AC51" s="136"/>
      <c r="AD51" s="136"/>
      <c r="AE51" s="136"/>
      <c r="AF51" s="136"/>
      <c r="AG51" s="136"/>
      <c r="AH51" s="136"/>
      <c r="AI51" s="136"/>
      <c r="AJ51" s="136"/>
      <c r="AK51" s="136"/>
      <c r="AL51" s="136"/>
      <c r="AM51" s="136"/>
      <c r="AN51" s="136"/>
      <c r="AO51" s="136"/>
      <c r="AP51" s="136"/>
      <c r="AQ51" s="136"/>
      <c r="AR51" s="137"/>
    </row>
    <row r="52" spans="1:44" ht="13.5" customHeight="1">
      <c r="A52" s="22" t="s">
        <v>214</v>
      </c>
      <c r="B52" s="70">
        <f>IFERROR(SUMIF('3. Scan'!$G$2:$G$199,"*"&amp;A52&amp;"*",'3. Scan'!$K$2:$K$199)/(5*SUMIF('3. Scan'!$G$2:$G$199,"*"&amp;A52&amp;"*",'3. Scan'!$J$2:$J$199)),"")</f>
        <v>0.2</v>
      </c>
      <c r="C52" s="40">
        <f t="shared" si="8"/>
        <v>0.2</v>
      </c>
      <c r="D52" s="40" t="str">
        <f t="shared" si="9"/>
        <v/>
      </c>
      <c r="E52" s="40" t="str">
        <f t="shared" si="10"/>
        <v/>
      </c>
      <c r="F52" s="40" t="str">
        <f t="shared" si="11"/>
        <v/>
      </c>
      <c r="I52" s="22" t="s">
        <v>214</v>
      </c>
      <c r="O52" s="387"/>
      <c r="P52" s="136"/>
      <c r="Q52" s="136"/>
      <c r="R52" s="136"/>
      <c r="S52" s="136"/>
      <c r="T52" s="136"/>
      <c r="U52" s="136"/>
      <c r="V52" s="136"/>
      <c r="W52" s="136"/>
      <c r="X52" s="136"/>
      <c r="Y52" s="136"/>
      <c r="Z52" s="136"/>
      <c r="AA52" s="136"/>
      <c r="AB52" s="136"/>
      <c r="AC52" s="136"/>
      <c r="AD52" s="136"/>
      <c r="AE52" s="136"/>
      <c r="AF52" s="136"/>
      <c r="AG52" s="136"/>
      <c r="AH52" s="136"/>
      <c r="AI52" s="136"/>
      <c r="AJ52" s="136"/>
      <c r="AK52" s="136"/>
      <c r="AL52" s="136"/>
      <c r="AM52" s="136"/>
      <c r="AN52" s="136"/>
      <c r="AO52" s="136"/>
      <c r="AP52" s="136"/>
      <c r="AQ52" s="136"/>
      <c r="AR52" s="137"/>
    </row>
    <row r="53" spans="1:44" ht="13.5" customHeight="1">
      <c r="A53" s="22" t="s">
        <v>316</v>
      </c>
      <c r="B53" s="70" cm="1">
        <f t="array" ref="B53">IFERROR(SUMPRODUCT((ISNUMBER(SEARCH(SUBSTITUTE($A50," ",""),SUBSTITUTE('3. Scan'!$G$2:$G$199," ",""))))*'3. Scan'!$K$2:$K$199)/(5*SUMPRODUCT((ISNUMBER(SEARCH(SUBSTITUTE($A50," ",""),SUBSTITUTE('3. Scan'!$G$2:$G$199," ",""))))*'3. Scan'!$J$2:$J$199)),"")</f>
        <v>0.2</v>
      </c>
      <c r="C53" s="40">
        <f t="shared" si="8"/>
        <v>0.2</v>
      </c>
      <c r="D53" s="40" t="str">
        <f t="shared" si="9"/>
        <v/>
      </c>
      <c r="E53" s="40" t="str">
        <f t="shared" si="10"/>
        <v/>
      </c>
      <c r="F53" s="40" t="str">
        <f t="shared" si="11"/>
        <v/>
      </c>
      <c r="I53" s="22" t="s">
        <v>316</v>
      </c>
      <c r="O53" s="387"/>
      <c r="P53" s="136"/>
      <c r="Q53" s="136"/>
      <c r="R53" s="136"/>
      <c r="S53" s="136"/>
      <c r="T53" s="136"/>
      <c r="U53" s="136"/>
      <c r="V53" s="136"/>
      <c r="W53" s="136"/>
      <c r="X53" s="136"/>
      <c r="Y53" s="136"/>
      <c r="Z53" s="136"/>
      <c r="AA53" s="136"/>
      <c r="AB53" s="136"/>
      <c r="AC53" s="136"/>
      <c r="AD53" s="136"/>
      <c r="AE53" s="136"/>
      <c r="AF53" s="136"/>
      <c r="AG53" s="136"/>
      <c r="AH53" s="136"/>
      <c r="AI53" s="136"/>
      <c r="AJ53" s="136"/>
      <c r="AK53" s="136"/>
      <c r="AL53" s="136"/>
      <c r="AM53" s="136"/>
      <c r="AN53" s="136"/>
      <c r="AO53" s="136"/>
      <c r="AP53" s="136"/>
      <c r="AQ53" s="136"/>
      <c r="AR53" s="137"/>
    </row>
    <row r="54" spans="1:44" ht="28.5">
      <c r="A54" s="22" t="s">
        <v>97</v>
      </c>
      <c r="B54" s="70" cm="1">
        <f t="array" ref="B54">IFERROR(SUMPRODUCT((ISNUMBER(SEARCH(SUBSTITUTE($A54," ",""),SUBSTITUTE('3. Scan'!$G$2:$G$199," ",""))))*'3. Scan'!$K$2:$K$199)/(5*SUMPRODUCT((ISNUMBER(SEARCH(SUBSTITUTE($A54," ",""),SUBSTITUTE('3. Scan'!$G$2:$G$199," ",""))))*'3. Scan'!$J$2:$J$199)),"")</f>
        <v>0.2</v>
      </c>
      <c r="C54" s="40">
        <f t="shared" si="8"/>
        <v>0.2</v>
      </c>
      <c r="D54" s="40" t="str">
        <f t="shared" si="9"/>
        <v/>
      </c>
      <c r="E54" s="40" t="str">
        <f t="shared" si="10"/>
        <v/>
      </c>
      <c r="F54" s="40" t="str">
        <f t="shared" si="11"/>
        <v/>
      </c>
      <c r="I54" s="22" t="s">
        <v>97</v>
      </c>
      <c r="O54" s="387"/>
      <c r="P54" s="136"/>
      <c r="Q54" s="136"/>
      <c r="R54" s="136"/>
      <c r="S54" s="136"/>
      <c r="T54" s="136"/>
      <c r="U54" s="136"/>
      <c r="V54" s="136"/>
      <c r="W54" s="136"/>
      <c r="X54" s="136"/>
      <c r="Y54" s="136"/>
      <c r="Z54" s="136"/>
      <c r="AA54" s="136"/>
      <c r="AB54" s="136"/>
      <c r="AC54" s="136"/>
      <c r="AD54" s="136"/>
      <c r="AE54" s="136"/>
      <c r="AF54" s="136"/>
      <c r="AG54" s="136"/>
      <c r="AH54" s="136"/>
      <c r="AI54" s="136"/>
      <c r="AJ54" s="136"/>
      <c r="AK54" s="136"/>
      <c r="AL54" s="136"/>
      <c r="AM54" s="136"/>
      <c r="AN54" s="136"/>
      <c r="AO54" s="136"/>
      <c r="AP54" s="136"/>
      <c r="AQ54" s="136"/>
      <c r="AR54" s="137"/>
    </row>
    <row r="55" spans="1:44" ht="13.5" customHeight="1">
      <c r="A55" s="22" t="s">
        <v>122</v>
      </c>
      <c r="B55" s="70" cm="1">
        <f t="array" ref="B55">IFERROR(SUMPRODUCT((ISNUMBER(SEARCH(SUBSTITUTE($A55," ",""),SUBSTITUTE('3. Scan'!$G$2:$G$199," ",""))))*'3. Scan'!$K$2:$K$199)/(5*SUMPRODUCT((ISNUMBER(SEARCH(SUBSTITUTE($A55," ",""),SUBSTITUTE('3. Scan'!$G$2:$G$199," ",""))))*'3. Scan'!$J$2:$J$199)),"")</f>
        <v>0.2</v>
      </c>
      <c r="C55" s="40">
        <f t="shared" si="8"/>
        <v>0.2</v>
      </c>
      <c r="D55" s="40" t="str">
        <f t="shared" si="9"/>
        <v/>
      </c>
      <c r="E55" s="40" t="str">
        <f t="shared" si="10"/>
        <v/>
      </c>
      <c r="F55" s="40" t="str">
        <f t="shared" si="11"/>
        <v/>
      </c>
      <c r="I55" s="22" t="s">
        <v>122</v>
      </c>
      <c r="O55" s="387"/>
      <c r="P55" s="136"/>
      <c r="Q55" s="136"/>
      <c r="R55" s="136"/>
      <c r="S55" s="136"/>
      <c r="T55" s="136"/>
      <c r="U55" s="136"/>
      <c r="V55" s="136"/>
      <c r="W55" s="136"/>
      <c r="X55" s="136"/>
      <c r="Y55" s="136"/>
      <c r="Z55" s="136"/>
      <c r="AA55" s="136"/>
      <c r="AB55" s="136"/>
      <c r="AC55" s="136"/>
      <c r="AD55" s="136"/>
      <c r="AE55" s="136"/>
      <c r="AF55" s="136"/>
      <c r="AG55" s="136"/>
      <c r="AH55" s="136"/>
      <c r="AI55" s="136"/>
      <c r="AJ55" s="136"/>
      <c r="AK55" s="136"/>
      <c r="AL55" s="136"/>
      <c r="AM55" s="136"/>
      <c r="AN55" s="136"/>
      <c r="AO55" s="136"/>
      <c r="AP55" s="136"/>
      <c r="AQ55" s="136"/>
      <c r="AR55" s="137"/>
    </row>
    <row r="56" spans="1:44" ht="13.5" customHeight="1">
      <c r="A56" s="22" t="s">
        <v>129</v>
      </c>
      <c r="B56" s="70" cm="1">
        <f t="array" ref="B56">IFERROR(SUMPRODUCT((ISNUMBER(SEARCH(SUBSTITUTE($A56," ",""),SUBSTITUTE('3. Scan'!$G$2:$G$199," ",""))))*'3. Scan'!$K$2:$K$199)/(5*SUMPRODUCT((ISNUMBER(SEARCH(SUBSTITUTE($A56," ",""),SUBSTITUTE('3. Scan'!$G$2:$G$199," ",""))))*'3. Scan'!$J$2:$J$199)),"")</f>
        <v>0.2</v>
      </c>
      <c r="C56" s="40">
        <f t="shared" si="8"/>
        <v>0.2</v>
      </c>
      <c r="D56" s="40" t="str">
        <f t="shared" si="9"/>
        <v/>
      </c>
      <c r="E56" s="40" t="str">
        <f t="shared" si="10"/>
        <v/>
      </c>
      <c r="F56" s="40" t="str">
        <f t="shared" si="11"/>
        <v/>
      </c>
      <c r="I56" s="22" t="s">
        <v>129</v>
      </c>
      <c r="O56" s="387"/>
      <c r="P56" s="136"/>
      <c r="Q56" s="136"/>
      <c r="R56" s="136"/>
      <c r="S56" s="136"/>
      <c r="T56" s="136"/>
      <c r="U56" s="136"/>
      <c r="V56" s="136"/>
      <c r="W56" s="136"/>
      <c r="X56" s="136"/>
      <c r="Y56" s="136"/>
      <c r="Z56" s="136"/>
      <c r="AA56" s="136"/>
      <c r="AB56" s="136"/>
      <c r="AC56" s="136"/>
      <c r="AD56" s="136"/>
      <c r="AE56" s="136"/>
      <c r="AF56" s="136"/>
      <c r="AG56" s="136"/>
      <c r="AH56" s="136"/>
      <c r="AI56" s="136"/>
      <c r="AJ56" s="136"/>
      <c r="AK56" s="136"/>
      <c r="AL56" s="136"/>
      <c r="AM56" s="136"/>
      <c r="AN56" s="136"/>
      <c r="AO56" s="136"/>
      <c r="AP56" s="136"/>
      <c r="AQ56" s="136"/>
      <c r="AR56" s="137"/>
    </row>
    <row r="57" spans="1:44" ht="13.5" customHeight="1">
      <c r="A57" s="22" t="s">
        <v>296</v>
      </c>
      <c r="B57" s="70" cm="1">
        <f t="array" ref="B57">IFERROR(SUMPRODUCT((ISNUMBER(SEARCH(SUBSTITUTE($A57," ",""),SUBSTITUTE('3. Scan'!$G$2:$G$199," ",""))))*'3. Scan'!$K$2:$K$199)/(5*SUMPRODUCT((ISNUMBER(SEARCH(SUBSTITUTE($A57," ",""),SUBSTITUTE('3. Scan'!$G$2:$G$199," ",""))))*'3. Scan'!$J$2:$J$199)),"")</f>
        <v>0.2</v>
      </c>
      <c r="C57" s="40">
        <f t="shared" si="8"/>
        <v>0.2</v>
      </c>
      <c r="D57" s="40" t="str">
        <f t="shared" si="9"/>
        <v/>
      </c>
      <c r="E57" s="40" t="str">
        <f t="shared" si="10"/>
        <v/>
      </c>
      <c r="F57" s="40" t="str">
        <f t="shared" si="11"/>
        <v/>
      </c>
      <c r="I57" s="22" t="s">
        <v>296</v>
      </c>
      <c r="O57" s="387"/>
      <c r="P57" s="136"/>
      <c r="Q57" s="136"/>
      <c r="R57" s="136"/>
      <c r="S57" s="136"/>
      <c r="T57" s="136"/>
      <c r="U57" s="136"/>
      <c r="V57" s="136"/>
      <c r="W57" s="136"/>
      <c r="X57" s="136"/>
      <c r="Y57" s="136"/>
      <c r="Z57" s="136"/>
      <c r="AA57" s="136"/>
      <c r="AB57" s="136"/>
      <c r="AC57" s="136"/>
      <c r="AD57" s="136"/>
      <c r="AE57" s="136"/>
      <c r="AF57" s="136"/>
      <c r="AG57" s="136"/>
      <c r="AH57" s="136"/>
      <c r="AI57" s="136"/>
      <c r="AJ57" s="136"/>
      <c r="AK57" s="136"/>
      <c r="AL57" s="136"/>
      <c r="AM57" s="136"/>
      <c r="AN57" s="136"/>
      <c r="AO57" s="136"/>
      <c r="AP57" s="136"/>
      <c r="AQ57" s="136"/>
      <c r="AR57" s="137"/>
    </row>
    <row r="58" spans="1:44" ht="13.5" customHeight="1">
      <c r="A58" s="22" t="s">
        <v>302</v>
      </c>
      <c r="B58" s="70" cm="1">
        <f t="array" ref="B58">IFERROR(SUMPRODUCT((ISNUMBER(SEARCH(SUBSTITUTE($A58," ",""),SUBSTITUTE('3. Scan'!$G$2:$G$199," ",""))))*'3. Scan'!$K$2:$K$199)/(5*SUMPRODUCT((ISNUMBER(SEARCH(SUBSTITUTE($A58," ",""),SUBSTITUTE('3. Scan'!$G$2:$G$199," ",""))))*'3. Scan'!$J$2:$J$199)),"")</f>
        <v>0.2</v>
      </c>
      <c r="C58" s="40">
        <f t="shared" si="8"/>
        <v>0.2</v>
      </c>
      <c r="D58" s="40" t="str">
        <f t="shared" si="9"/>
        <v/>
      </c>
      <c r="E58" s="40" t="str">
        <f t="shared" si="10"/>
        <v/>
      </c>
      <c r="F58" s="40" t="str">
        <f t="shared" si="11"/>
        <v/>
      </c>
      <c r="I58" s="22" t="s">
        <v>302</v>
      </c>
      <c r="O58" s="387"/>
      <c r="P58" s="136"/>
      <c r="Q58" s="136"/>
      <c r="R58" s="136"/>
      <c r="S58" s="136"/>
      <c r="T58" s="136"/>
      <c r="U58" s="136"/>
      <c r="V58" s="136"/>
      <c r="W58" s="136"/>
      <c r="X58" s="136"/>
      <c r="Y58" s="136"/>
      <c r="Z58" s="136"/>
      <c r="AA58" s="136"/>
      <c r="AB58" s="136"/>
      <c r="AC58" s="136"/>
      <c r="AD58" s="136"/>
      <c r="AE58" s="136"/>
      <c r="AF58" s="136"/>
      <c r="AG58" s="136"/>
      <c r="AH58" s="136"/>
      <c r="AI58" s="136"/>
      <c r="AJ58" s="136"/>
      <c r="AK58" s="136"/>
      <c r="AL58" s="136"/>
      <c r="AM58" s="136"/>
      <c r="AN58" s="136"/>
      <c r="AO58" s="136"/>
      <c r="AP58" s="136"/>
      <c r="AQ58" s="136"/>
      <c r="AR58" s="137"/>
    </row>
    <row r="59" spans="1:44" ht="28.5">
      <c r="A59" s="22" t="s">
        <v>133</v>
      </c>
      <c r="B59" s="70" cm="1">
        <f t="array" ref="B59">IFERROR(SUMPRODUCT((ISNUMBER(SEARCH(SUBSTITUTE($A59," ",""),SUBSTITUTE('3. Scan'!$G$2:$G$199," ",""))))*'3. Scan'!$K$2:$K$199)/(5*SUMPRODUCT((ISNUMBER(SEARCH(SUBSTITUTE($A59," ",""),SUBSTITUTE('3. Scan'!$G$2:$G$199," ",""))))*'3. Scan'!$J$2:$J$199)),"")</f>
        <v>0.2</v>
      </c>
      <c r="C59" s="40">
        <f t="shared" si="8"/>
        <v>0.2</v>
      </c>
      <c r="D59" s="40" t="str">
        <f t="shared" si="9"/>
        <v/>
      </c>
      <c r="E59" s="40" t="str">
        <f t="shared" si="10"/>
        <v/>
      </c>
      <c r="F59" s="40" t="str">
        <f t="shared" si="11"/>
        <v/>
      </c>
      <c r="I59" s="22" t="s">
        <v>133</v>
      </c>
      <c r="O59" s="387"/>
      <c r="P59" s="136"/>
      <c r="Q59" s="136"/>
      <c r="R59" s="136"/>
      <c r="S59" s="136"/>
      <c r="T59" s="136"/>
      <c r="U59" s="136"/>
      <c r="V59" s="136"/>
      <c r="W59" s="136"/>
      <c r="X59" s="136"/>
      <c r="Y59" s="136"/>
      <c r="Z59" s="136"/>
      <c r="AA59" s="136"/>
      <c r="AB59" s="136"/>
      <c r="AC59" s="136"/>
      <c r="AD59" s="136"/>
      <c r="AE59" s="136"/>
      <c r="AF59" s="136"/>
      <c r="AG59" s="136"/>
      <c r="AH59" s="136"/>
      <c r="AI59" s="136"/>
      <c r="AJ59" s="136"/>
      <c r="AK59" s="136"/>
      <c r="AL59" s="136"/>
      <c r="AM59" s="136"/>
      <c r="AN59" s="136"/>
      <c r="AO59" s="136"/>
      <c r="AP59" s="136"/>
      <c r="AQ59" s="136"/>
      <c r="AR59" s="137"/>
    </row>
    <row r="60" spans="1:44" ht="13.5" customHeight="1">
      <c r="A60" s="22" t="s">
        <v>263</v>
      </c>
      <c r="B60" s="70" cm="1">
        <f t="array" ref="B60">IFERROR(SUMPRODUCT((ISNUMBER(SEARCH(SUBSTITUTE($A60," ",""),SUBSTITUTE('3. Scan'!$G$2:$G$199," ",""))))*'3. Scan'!$K$2:$K$199)/(5*SUMPRODUCT((ISNUMBER(SEARCH(SUBSTITUTE($A60," ",""),SUBSTITUTE('3. Scan'!$G$2:$G$199," ",""))))*'3. Scan'!$J$2:$J$199)),"")</f>
        <v>0.2</v>
      </c>
      <c r="C60" s="40">
        <f t="shared" si="8"/>
        <v>0.2</v>
      </c>
      <c r="D60" s="40" t="str">
        <f t="shared" si="9"/>
        <v/>
      </c>
      <c r="E60" s="40" t="str">
        <f t="shared" si="10"/>
        <v/>
      </c>
      <c r="F60" s="40" t="str">
        <f t="shared" si="11"/>
        <v/>
      </c>
      <c r="I60" s="22" t="s">
        <v>263</v>
      </c>
      <c r="O60" s="387"/>
      <c r="P60" s="136"/>
      <c r="Q60" s="136"/>
      <c r="R60" s="136"/>
      <c r="S60" s="136"/>
      <c r="T60" s="136"/>
      <c r="U60" s="136"/>
      <c r="V60" s="136"/>
      <c r="W60" s="136"/>
      <c r="X60" s="136"/>
      <c r="Y60" s="136"/>
      <c r="Z60" s="136"/>
      <c r="AA60" s="136"/>
      <c r="AB60" s="136"/>
      <c r="AC60" s="136"/>
      <c r="AD60" s="136"/>
      <c r="AE60" s="136"/>
      <c r="AF60" s="136"/>
      <c r="AG60" s="136"/>
      <c r="AH60" s="136"/>
      <c r="AI60" s="136"/>
      <c r="AJ60" s="136"/>
      <c r="AK60" s="136"/>
      <c r="AL60" s="136"/>
      <c r="AM60" s="136"/>
      <c r="AN60" s="136"/>
      <c r="AO60" s="136"/>
      <c r="AP60" s="136"/>
      <c r="AQ60" s="136"/>
      <c r="AR60" s="137"/>
    </row>
    <row r="61" spans="1:44" ht="13.5" customHeight="1">
      <c r="A61" s="22" t="s">
        <v>137</v>
      </c>
      <c r="B61" s="70" cm="1">
        <f t="array" ref="B61">IFERROR(SUMPRODUCT((ISNUMBER(SEARCH(SUBSTITUTE($A61," ",""),SUBSTITUTE('3. Scan'!$G$2:$G$199," ",""))))*'3. Scan'!$K$2:$K$199)/(5*SUMPRODUCT((ISNUMBER(SEARCH(SUBSTITUTE($A61," ",""),SUBSTITUTE('3. Scan'!$G$2:$G$199," ",""))))*'3. Scan'!$J$2:$J$199)),"")</f>
        <v>0.2</v>
      </c>
      <c r="C61" s="40">
        <f t="shared" si="8"/>
        <v>0.2</v>
      </c>
      <c r="D61" s="40" t="str">
        <f t="shared" si="9"/>
        <v/>
      </c>
      <c r="E61" s="40" t="str">
        <f t="shared" si="10"/>
        <v/>
      </c>
      <c r="F61" s="40" t="str">
        <f t="shared" si="11"/>
        <v/>
      </c>
      <c r="I61" s="22" t="s">
        <v>137</v>
      </c>
      <c r="O61" s="387"/>
      <c r="P61" s="136"/>
      <c r="Q61" s="136"/>
      <c r="R61" s="136"/>
      <c r="S61" s="136"/>
      <c r="T61" s="136"/>
      <c r="U61" s="136"/>
      <c r="V61" s="136"/>
      <c r="W61" s="136"/>
      <c r="X61" s="136"/>
      <c r="Y61" s="136"/>
      <c r="Z61" s="136"/>
      <c r="AA61" s="136"/>
      <c r="AB61" s="136"/>
      <c r="AC61" s="136"/>
      <c r="AD61" s="136"/>
      <c r="AE61" s="136"/>
      <c r="AF61" s="136"/>
      <c r="AG61" s="136"/>
      <c r="AH61" s="136"/>
      <c r="AI61" s="136"/>
      <c r="AJ61" s="136"/>
      <c r="AK61" s="136"/>
      <c r="AL61" s="136"/>
      <c r="AM61" s="136"/>
      <c r="AN61" s="136"/>
      <c r="AO61" s="136"/>
      <c r="AP61" s="136"/>
      <c r="AQ61" s="136"/>
      <c r="AR61" s="137"/>
    </row>
    <row r="62" spans="1:44" ht="27" customHeight="1">
      <c r="A62" s="22" t="s">
        <v>169</v>
      </c>
      <c r="B62" s="70" cm="1">
        <f t="array" ref="B62">IFERROR(SUMPRODUCT((ISNUMBER(SEARCH(SUBSTITUTE($A62," ",""),SUBSTITUTE('3. Scan'!$G$2:$G$199," ",""))))*'3. Scan'!$K$2:$K$199)/(5*SUMPRODUCT((ISNUMBER(SEARCH(SUBSTITUTE($A62," ",""),SUBSTITUTE('3. Scan'!$G$2:$G$199," ",""))))*'3. Scan'!$J$2:$J$199)),"")</f>
        <v>0.2</v>
      </c>
      <c r="C62" s="40">
        <f t="shared" si="8"/>
        <v>0.2</v>
      </c>
      <c r="D62" s="40" t="str">
        <f t="shared" si="9"/>
        <v/>
      </c>
      <c r="E62" s="40" t="str">
        <f t="shared" si="10"/>
        <v/>
      </c>
      <c r="F62" s="40" t="str">
        <f t="shared" si="11"/>
        <v/>
      </c>
      <c r="I62" s="22" t="s">
        <v>169</v>
      </c>
      <c r="O62" s="387"/>
      <c r="P62" s="136"/>
      <c r="Q62" s="136"/>
      <c r="R62" s="136"/>
      <c r="S62" s="136"/>
      <c r="T62" s="136"/>
      <c r="U62" s="136"/>
      <c r="V62" s="136"/>
      <c r="W62" s="136"/>
      <c r="X62" s="136"/>
      <c r="Y62" s="136"/>
      <c r="Z62" s="136"/>
      <c r="AA62" s="136"/>
      <c r="AB62" s="136"/>
      <c r="AC62" s="136"/>
      <c r="AD62" s="136"/>
      <c r="AE62" s="136"/>
      <c r="AF62" s="136"/>
      <c r="AG62" s="136"/>
      <c r="AH62" s="136"/>
      <c r="AI62" s="136"/>
      <c r="AJ62" s="136"/>
      <c r="AK62" s="136"/>
      <c r="AL62" s="136"/>
      <c r="AM62" s="136"/>
      <c r="AN62" s="136"/>
      <c r="AO62" s="136"/>
      <c r="AP62" s="136"/>
      <c r="AQ62" s="136"/>
      <c r="AR62" s="137"/>
    </row>
    <row r="63" spans="1:44" ht="13.5" customHeight="1">
      <c r="A63" s="22" t="s">
        <v>176</v>
      </c>
      <c r="B63" s="70" cm="1">
        <f t="array" ref="B63">IFERROR(SUMPRODUCT((ISNUMBER(SEARCH(SUBSTITUTE($A63," ",""),SUBSTITUTE('3. Scan'!$G$2:$G$199," ",""))))*'3. Scan'!$K$2:$K$199)/(5*SUMPRODUCT((ISNUMBER(SEARCH(SUBSTITUTE($A63," ",""),SUBSTITUTE('3. Scan'!$G$2:$G$199," ",""))))*'3. Scan'!$J$2:$J$199)),"")</f>
        <v>0.2</v>
      </c>
      <c r="C63" s="40">
        <f t="shared" si="8"/>
        <v>0.2</v>
      </c>
      <c r="D63" s="40" t="str">
        <f t="shared" si="9"/>
        <v/>
      </c>
      <c r="E63" s="40" t="str">
        <f t="shared" si="10"/>
        <v/>
      </c>
      <c r="F63" s="40" t="str">
        <f t="shared" si="11"/>
        <v/>
      </c>
      <c r="I63" s="22" t="s">
        <v>176</v>
      </c>
      <c r="O63" s="387"/>
      <c r="P63" s="136"/>
      <c r="Q63" s="136"/>
      <c r="R63" s="136"/>
      <c r="S63" s="136"/>
      <c r="T63" s="136"/>
      <c r="U63" s="136"/>
      <c r="V63" s="136"/>
      <c r="W63" s="136"/>
      <c r="X63" s="136"/>
      <c r="Y63" s="136"/>
      <c r="Z63" s="136"/>
      <c r="AA63" s="136"/>
      <c r="AB63" s="136"/>
      <c r="AC63" s="136"/>
      <c r="AD63" s="136"/>
      <c r="AE63" s="136"/>
      <c r="AF63" s="136"/>
      <c r="AG63" s="136"/>
      <c r="AH63" s="136"/>
      <c r="AI63" s="136"/>
      <c r="AJ63" s="136"/>
      <c r="AK63" s="136"/>
      <c r="AL63" s="136"/>
      <c r="AM63" s="136"/>
      <c r="AN63" s="136"/>
      <c r="AO63" s="136"/>
      <c r="AP63" s="136"/>
      <c r="AQ63" s="136"/>
      <c r="AR63" s="137"/>
    </row>
    <row r="64" spans="1:44" ht="13.5" customHeight="1">
      <c r="A64" s="22" t="s">
        <v>183</v>
      </c>
      <c r="B64" s="70" cm="1">
        <f t="array" ref="B64">IFERROR(SUMPRODUCT((ISNUMBER(SEARCH(SUBSTITUTE($A64," ",""),SUBSTITUTE('3. Scan'!$G$2:$G$199," ",""))))*'3. Scan'!$K$2:$K$199)/(5*SUMPRODUCT((ISNUMBER(SEARCH(SUBSTITUTE($A64," ",""),SUBSTITUTE('3. Scan'!$G$2:$G$199," ",""))))*'3. Scan'!$J$2:$J$199)),"")</f>
        <v>0.2</v>
      </c>
      <c r="C64" s="40">
        <f t="shared" si="8"/>
        <v>0.2</v>
      </c>
      <c r="D64" s="40" t="str">
        <f t="shared" si="9"/>
        <v/>
      </c>
      <c r="E64" s="40" t="str">
        <f t="shared" si="10"/>
        <v/>
      </c>
      <c r="F64" s="40" t="str">
        <f t="shared" si="11"/>
        <v/>
      </c>
      <c r="I64" s="22" t="s">
        <v>183</v>
      </c>
      <c r="O64" s="387"/>
      <c r="P64" s="136"/>
      <c r="Q64" s="136"/>
      <c r="R64" s="136"/>
      <c r="S64" s="136"/>
      <c r="T64" s="136"/>
      <c r="U64" s="136"/>
      <c r="V64" s="136"/>
      <c r="W64" s="136"/>
      <c r="X64" s="136"/>
      <c r="Y64" s="136"/>
      <c r="Z64" s="136"/>
      <c r="AA64" s="136"/>
      <c r="AB64" s="136"/>
      <c r="AC64" s="136"/>
      <c r="AD64" s="136"/>
      <c r="AE64" s="136"/>
      <c r="AF64" s="136"/>
      <c r="AG64" s="136"/>
      <c r="AH64" s="136"/>
      <c r="AI64" s="136"/>
      <c r="AJ64" s="136"/>
      <c r="AK64" s="136"/>
      <c r="AL64" s="136"/>
      <c r="AM64" s="136"/>
      <c r="AN64" s="136"/>
      <c r="AO64" s="136"/>
      <c r="AP64" s="136"/>
      <c r="AQ64" s="136"/>
      <c r="AR64" s="137"/>
    </row>
    <row r="65" spans="1:48" ht="13.5" customHeight="1" thickBot="1">
      <c r="A65" s="403" t="s">
        <v>764</v>
      </c>
      <c r="B65" s="403"/>
      <c r="C65" s="85"/>
      <c r="D65" s="85"/>
      <c r="E65" s="85"/>
      <c r="F65" s="86"/>
      <c r="G65" s="86"/>
      <c r="H65" s="86"/>
      <c r="I65" s="86"/>
      <c r="J65" s="86"/>
      <c r="K65" s="86"/>
      <c r="L65" s="86"/>
      <c r="M65" s="56"/>
      <c r="O65" s="387"/>
      <c r="P65" s="136"/>
      <c r="Q65" s="136"/>
      <c r="R65" s="136"/>
      <c r="S65" s="136"/>
      <c r="T65" s="136"/>
      <c r="U65" s="136"/>
      <c r="V65" s="136"/>
      <c r="W65" s="136"/>
      <c r="X65" s="136"/>
      <c r="Y65" s="136"/>
      <c r="Z65" s="136"/>
      <c r="AA65" s="136"/>
      <c r="AB65" s="136"/>
      <c r="AC65" s="136"/>
      <c r="AD65" s="136"/>
      <c r="AE65" s="136"/>
      <c r="AF65" s="136"/>
      <c r="AG65" s="136"/>
      <c r="AH65" s="136"/>
      <c r="AI65" s="136"/>
      <c r="AJ65" s="136"/>
      <c r="AK65" s="136"/>
      <c r="AL65" s="136"/>
      <c r="AM65" s="136"/>
      <c r="AN65" s="136"/>
      <c r="AO65" s="136"/>
      <c r="AP65" s="136"/>
      <c r="AQ65" s="136"/>
      <c r="AR65" s="137"/>
    </row>
    <row r="66" spans="1:48" ht="13.5" customHeight="1">
      <c r="F66" s="56"/>
      <c r="G66" s="56"/>
      <c r="H66" s="56"/>
      <c r="I66" s="56"/>
      <c r="J66" s="56"/>
      <c r="K66" s="56"/>
      <c r="L66" s="56"/>
      <c r="M66" s="56"/>
      <c r="O66" s="387"/>
      <c r="P66" s="423" t="s">
        <v>746</v>
      </c>
      <c r="Q66" s="424"/>
      <c r="R66" s="424"/>
      <c r="S66" s="424"/>
      <c r="T66" s="424"/>
      <c r="U66" s="424"/>
      <c r="V66" s="424"/>
      <c r="W66" s="424"/>
      <c r="X66" s="425"/>
      <c r="Y66" s="136"/>
      <c r="Z66" s="136"/>
      <c r="AA66" s="378" t="s">
        <v>768</v>
      </c>
      <c r="AB66" s="379"/>
      <c r="AC66" s="379"/>
      <c r="AD66" s="379"/>
      <c r="AE66" s="379"/>
      <c r="AF66" s="379"/>
      <c r="AG66" s="379"/>
      <c r="AH66" s="379"/>
      <c r="AI66" s="379"/>
      <c r="AJ66" s="379"/>
      <c r="AK66" s="136"/>
      <c r="AL66" s="136"/>
      <c r="AM66" s="136"/>
      <c r="AN66" s="136"/>
      <c r="AO66" s="136"/>
      <c r="AP66" s="136"/>
      <c r="AQ66" s="136"/>
      <c r="AR66" s="137"/>
    </row>
    <row r="67" spans="1:48" ht="13.5" customHeight="1" thickBot="1">
      <c r="A67" s="55" t="s">
        <v>734</v>
      </c>
      <c r="B67" s="40" t="s">
        <v>741</v>
      </c>
      <c r="C67" s="40" t="s">
        <v>742</v>
      </c>
      <c r="D67" s="40" t="s">
        <v>743</v>
      </c>
      <c r="F67" s="56"/>
      <c r="G67" s="56"/>
      <c r="H67" s="56"/>
      <c r="I67" s="56"/>
      <c r="J67" s="56"/>
      <c r="K67" s="56"/>
      <c r="L67" s="56"/>
      <c r="M67" s="56"/>
      <c r="O67" s="387"/>
      <c r="P67" s="429"/>
      <c r="Q67" s="430"/>
      <c r="R67" s="430"/>
      <c r="S67" s="430"/>
      <c r="T67" s="430"/>
      <c r="U67" s="430"/>
      <c r="V67" s="430"/>
      <c r="W67" s="430"/>
      <c r="X67" s="431"/>
      <c r="Y67" s="136"/>
      <c r="Z67" s="136"/>
      <c r="AA67" s="380"/>
      <c r="AB67" s="381"/>
      <c r="AC67" s="381"/>
      <c r="AD67" s="381"/>
      <c r="AE67" s="381"/>
      <c r="AF67" s="381"/>
      <c r="AG67" s="381"/>
      <c r="AH67" s="381"/>
      <c r="AI67" s="381"/>
      <c r="AJ67" s="381"/>
      <c r="AK67" s="136"/>
      <c r="AL67" s="136"/>
      <c r="AM67" s="136"/>
      <c r="AN67" s="136"/>
      <c r="AO67" s="136"/>
      <c r="AP67" s="136"/>
      <c r="AQ67" s="136"/>
      <c r="AR67" s="137"/>
    </row>
    <row r="68" spans="1:48" ht="15" customHeight="1">
      <c r="E68" s="60"/>
      <c r="O68" s="387"/>
      <c r="P68" s="136"/>
      <c r="Q68" s="136"/>
      <c r="R68" s="136"/>
      <c r="S68" s="136"/>
      <c r="T68" s="136"/>
      <c r="U68" s="136"/>
      <c r="V68" s="136"/>
      <c r="W68" s="136"/>
      <c r="X68" s="136"/>
      <c r="Y68" s="136"/>
      <c r="Z68" s="136"/>
      <c r="AA68" s="136"/>
      <c r="AB68" s="136"/>
      <c r="AC68" s="136"/>
      <c r="AD68" s="136"/>
      <c r="AE68" s="136"/>
      <c r="AF68" s="136"/>
      <c r="AG68" s="136"/>
      <c r="AH68" s="136"/>
      <c r="AI68" s="136"/>
      <c r="AJ68" s="136"/>
      <c r="AK68" s="136"/>
      <c r="AL68" s="136"/>
      <c r="AM68" s="136"/>
      <c r="AN68" s="136"/>
      <c r="AO68" s="136"/>
      <c r="AP68" s="150"/>
      <c r="AQ68" s="136"/>
      <c r="AR68" s="151"/>
      <c r="AS68"/>
    </row>
    <row r="69" spans="1:48" ht="13.5" customHeight="1">
      <c r="A69" s="40" t="s">
        <v>719</v>
      </c>
      <c r="B69" s="40">
        <f>COUNTIF('3. Scan'!I:I,"Must")</f>
        <v>27</v>
      </c>
      <c r="C69" s="40">
        <f>COUNTIFS('3. Scan'!I:I,"Must",'3. Scan'!E:E,"&gt;=4")</f>
        <v>0</v>
      </c>
      <c r="D69" s="70">
        <f>C69/B69</f>
        <v>0</v>
      </c>
      <c r="E69" s="57"/>
      <c r="O69" s="387"/>
      <c r="P69" s="136"/>
      <c r="Q69" s="136"/>
      <c r="R69" s="136"/>
      <c r="S69" s="136"/>
      <c r="T69" s="136"/>
      <c r="U69" s="136"/>
      <c r="V69" s="136"/>
      <c r="W69" s="136"/>
      <c r="X69" s="133"/>
      <c r="Y69" s="132"/>
      <c r="Z69" s="136"/>
      <c r="AA69" s="136"/>
      <c r="AB69" s="136"/>
      <c r="AC69" s="136"/>
      <c r="AD69" s="136"/>
      <c r="AE69" s="136"/>
      <c r="AF69" s="136"/>
      <c r="AG69" s="136"/>
      <c r="AH69" s="136"/>
      <c r="AI69" s="136"/>
      <c r="AJ69" s="136"/>
      <c r="AK69" s="136"/>
      <c r="AL69" s="136"/>
      <c r="AM69" s="136"/>
      <c r="AN69" s="136"/>
      <c r="AO69" s="136"/>
      <c r="AP69" s="136"/>
      <c r="AQ69" s="136"/>
      <c r="AR69" s="137"/>
    </row>
    <row r="70" spans="1:48" ht="15" customHeight="1">
      <c r="A70" s="40" t="s">
        <v>735</v>
      </c>
      <c r="B70" s="40">
        <f>COUNTIF('3. Scan'!I:I,"Should")</f>
        <v>2</v>
      </c>
      <c r="C70" s="40">
        <f>COUNTIFS('3. Scan'!I:I,"Should",'3. Scan'!E:E,"&gt;=4")</f>
        <v>0</v>
      </c>
      <c r="D70" s="70">
        <f>C70/B70</f>
        <v>0</v>
      </c>
      <c r="E70" s="57"/>
      <c r="O70" s="387"/>
      <c r="P70" s="136"/>
      <c r="Q70" s="136"/>
      <c r="R70" s="136"/>
      <c r="S70" s="136"/>
      <c r="T70" s="136"/>
      <c r="U70" s="136"/>
      <c r="V70" s="136"/>
      <c r="W70" s="136"/>
      <c r="X70" s="133"/>
      <c r="Y70" s="132"/>
      <c r="Z70" s="136"/>
      <c r="AA70" s="136"/>
      <c r="AB70" s="136"/>
      <c r="AC70" s="136"/>
      <c r="AD70" s="136"/>
      <c r="AE70" s="136"/>
      <c r="AF70" s="136"/>
      <c r="AG70" s="136"/>
      <c r="AH70" s="136"/>
      <c r="AI70" s="136"/>
      <c r="AJ70" s="136"/>
      <c r="AK70" s="136"/>
      <c r="AL70" s="136"/>
      <c r="AM70" s="136"/>
      <c r="AN70" s="136"/>
      <c r="AO70" s="136"/>
      <c r="AP70" s="136"/>
      <c r="AQ70" s="136"/>
      <c r="AR70" s="137"/>
      <c r="AS70"/>
    </row>
    <row r="71" spans="1:48" ht="15" customHeight="1" thickBot="1">
      <c r="A71" s="40" t="s">
        <v>736</v>
      </c>
      <c r="B71" s="40">
        <f>COUNTIF('3. Scan'!I:I,"Could")</f>
        <v>4</v>
      </c>
      <c r="C71" s="40">
        <f>COUNTIFS('3. Scan'!I:I,"Could",'3. Scan'!E:E,"&gt;=4")</f>
        <v>0</v>
      </c>
      <c r="D71" s="70">
        <f>C71/B71</f>
        <v>0</v>
      </c>
      <c r="E71" s="57"/>
      <c r="O71" s="388"/>
      <c r="P71" s="138"/>
      <c r="Q71" s="138"/>
      <c r="R71" s="138"/>
      <c r="S71" s="138"/>
      <c r="T71" s="138"/>
      <c r="U71" s="138"/>
      <c r="V71" s="138"/>
      <c r="W71" s="138"/>
      <c r="X71" s="138"/>
      <c r="Y71" s="138"/>
      <c r="Z71" s="138"/>
      <c r="AA71" s="138"/>
      <c r="AB71" s="138"/>
      <c r="AC71" s="138"/>
      <c r="AD71" s="138"/>
      <c r="AE71" s="138"/>
      <c r="AF71" s="138"/>
      <c r="AG71" s="138"/>
      <c r="AH71" s="138"/>
      <c r="AI71" s="138"/>
      <c r="AJ71" s="138"/>
      <c r="AK71" s="138"/>
      <c r="AL71" s="138"/>
      <c r="AM71" s="138"/>
      <c r="AN71" s="138"/>
      <c r="AO71" s="138"/>
      <c r="AP71" s="138"/>
      <c r="AQ71" s="138"/>
      <c r="AR71" s="139"/>
      <c r="AS71"/>
    </row>
    <row r="72" spans="1:48" ht="15">
      <c r="A72" s="40" t="s">
        <v>737</v>
      </c>
      <c r="B72" s="40">
        <f>COUNTIF('3. Scan'!I:I,"Would")</f>
        <v>0</v>
      </c>
      <c r="C72" s="40">
        <f>COUNTIFS('3. Scan'!I:I,"Would",'3. Scan'!E:E,"&gt;=4")</f>
        <v>0</v>
      </c>
      <c r="D72" s="70" t="e">
        <f>C72/B72</f>
        <v>#DIV/0!</v>
      </c>
      <c r="E72" s="57"/>
      <c r="AS72" s="128"/>
    </row>
    <row r="73" spans="1:48" ht="15">
      <c r="A73" s="403" t="s">
        <v>765</v>
      </c>
      <c r="B73" s="403"/>
      <c r="C73" s="122"/>
      <c r="D73" s="122"/>
      <c r="E73" s="122"/>
      <c r="F73" s="85"/>
      <c r="G73" s="85"/>
      <c r="H73" s="85"/>
      <c r="I73" s="85"/>
      <c r="J73" s="85"/>
      <c r="K73" s="85"/>
      <c r="L73" s="85"/>
      <c r="M73" s="125"/>
      <c r="AS73" s="128"/>
    </row>
    <row r="74" spans="1:48" ht="15" thickBot="1">
      <c r="A74" s="80"/>
      <c r="B74" s="80"/>
      <c r="C74" s="57"/>
      <c r="D74" s="57"/>
      <c r="E74" s="57"/>
    </row>
    <row r="75" spans="1:48" ht="17.45" customHeight="1">
      <c r="A75" s="81"/>
      <c r="B75" s="81"/>
      <c r="O75" s="389" t="s">
        <v>846</v>
      </c>
      <c r="P75" s="144" t="s">
        <v>412</v>
      </c>
      <c r="Q75" s="421" t="s">
        <v>828</v>
      </c>
      <c r="R75" s="421"/>
      <c r="S75" s="433" t="s">
        <v>813</v>
      </c>
      <c r="T75" s="433"/>
      <c r="U75" s="433"/>
      <c r="V75" s="433"/>
      <c r="W75" s="433"/>
      <c r="X75" s="433"/>
      <c r="Y75" s="433"/>
      <c r="Z75" s="433"/>
      <c r="AA75" s="433"/>
      <c r="AB75" s="433"/>
      <c r="AC75" s="433"/>
      <c r="AD75" s="145" t="s">
        <v>829</v>
      </c>
      <c r="AE75" s="134"/>
      <c r="AF75" s="392" t="s">
        <v>770</v>
      </c>
      <c r="AG75" s="392"/>
      <c r="AH75" s="392" t="str">
        <f>IF(F257&lt;25%,"HOOG",IF(F257&lt;50%,"MIDDEL",IF(F257&lt;75%,"LAAG","GOED")))</f>
        <v>HOOG</v>
      </c>
      <c r="AI75" s="392"/>
      <c r="AJ75" s="392"/>
      <c r="AK75" s="392"/>
      <c r="AL75" s="392"/>
      <c r="AM75" s="393"/>
      <c r="AN75" s="439" t="s">
        <v>837</v>
      </c>
      <c r="AO75" s="439"/>
      <c r="AP75" s="439"/>
      <c r="AQ75" s="146" t="s">
        <v>838</v>
      </c>
      <c r="AR75" s="392" t="s">
        <v>839</v>
      </c>
      <c r="AS75" s="392"/>
      <c r="AT75" s="441"/>
      <c r="AU75" s="188"/>
      <c r="AV75" s="188"/>
    </row>
    <row r="76" spans="1:48" ht="12.6" customHeight="1">
      <c r="A76" s="84" t="s">
        <v>758</v>
      </c>
      <c r="B76" s="84" t="s">
        <v>759</v>
      </c>
      <c r="C76" s="60" t="s">
        <v>760</v>
      </c>
      <c r="D76" s="60"/>
      <c r="E76" s="87" t="s">
        <v>766</v>
      </c>
      <c r="F76" s="87" t="s">
        <v>767</v>
      </c>
      <c r="G76" s="88" t="s">
        <v>79</v>
      </c>
      <c r="H76" s="88" t="s">
        <v>80</v>
      </c>
      <c r="I76" s="88" t="s">
        <v>81</v>
      </c>
      <c r="J76" s="88" t="s">
        <v>82</v>
      </c>
      <c r="O76" s="390"/>
      <c r="P76" s="141" t="s">
        <v>93</v>
      </c>
      <c r="Q76" s="407">
        <f>B50</f>
        <v>0.2</v>
      </c>
      <c r="R76" s="408"/>
      <c r="S76" s="400" t="s">
        <v>815</v>
      </c>
      <c r="T76" s="400"/>
      <c r="U76" s="400"/>
      <c r="V76" s="400"/>
      <c r="W76" s="400"/>
      <c r="X76" s="400"/>
      <c r="Y76" s="400"/>
      <c r="Z76" s="400"/>
      <c r="AA76" s="400"/>
      <c r="AB76" s="400"/>
      <c r="AC76" s="400"/>
      <c r="AD76" s="140" t="str">
        <f>IF(B258&lt;25%,"Direct aandacht vereist",IF(B258&lt;50%,"Aandachtspunt",IF(B258&lt;75%,"Redelijk beheerst","Goed beheerst")))</f>
        <v>Direct aandacht vereist</v>
      </c>
      <c r="AE76" s="136"/>
      <c r="AF76" s="399" t="s">
        <v>831</v>
      </c>
      <c r="AG76" s="399"/>
      <c r="AH76" s="401" t="str" cm="1">
        <f t="array" ref="AH76">IFERROR(_xlfn.TEXTJOIN(", ",TRUE,_xlfn._xlws.FILTER($P$76:$P$90,(ISNUMBER(SEARCH($AF76,$S$76:$S$90)))*($AD$76:$AD$90="Direct aandacht vereist"))),"")</f>
        <v>Inwinning, Conversie, Metagegevensbeheer, Opname, Opslag, Toegangsbeheer, Uitwisseling, Validatie, Verantwoording, Vernietiging, Zoeken</v>
      </c>
      <c r="AI76" s="401"/>
      <c r="AJ76" s="401"/>
      <c r="AK76" s="401"/>
      <c r="AL76" s="401"/>
      <c r="AM76" s="402"/>
      <c r="AN76" s="440" t="str" cm="1">
        <f t="array" ref="AN76">IFERROR(_xlfn.TEXTJOIN(", ",TRUE,_xlfn._xlws.FILTER($P$76:$P$90,(ISNUMBER(SEARCH($AF76,$S$76:$S$90)))*($AD$76:$AD$90="Aandachtspunt"))),"")</f>
        <v/>
      </c>
      <c r="AO76" s="440"/>
      <c r="AP76" s="440"/>
      <c r="AQ76" s="143" t="str" cm="1">
        <f t="array" ref="AQ76">IFERROR(_xlfn.TEXTJOIN(", ",TRUE,_xlfn._xlws.FILTER($P$76:$P$90,(ISNUMBER(SEARCH($AF76,$S$76:$S$90)))*($AD$76:$AD$90="Redelijk beheerst"))),"")</f>
        <v/>
      </c>
      <c r="AR76" s="399" t="str" cm="1">
        <f t="array" ref="AR76">IFERROR(_xlfn.TEXTJOIN(", ",TRUE,_xlfn._xlws.FILTER($P$76:$P$90,(ISNUMBER(SEARCH($AF76,$S$76:$S$90)))*($AD$76:$AD$90="Goed beheerst"))),"")</f>
        <v/>
      </c>
      <c r="AS76" s="399"/>
      <c r="AT76" s="442"/>
      <c r="AU76" s="48"/>
      <c r="AV76" s="188"/>
    </row>
    <row r="77" spans="1:48" ht="15.6" customHeight="1">
      <c r="A77" s="82" t="s">
        <v>678</v>
      </c>
      <c r="B77" s="82" t="s">
        <v>133</v>
      </c>
      <c r="C77">
        <f>_xlfn.XLOOKUP(B77,$A$50:$A$64,$B$50:$B$64,"")</f>
        <v>0.2</v>
      </c>
      <c r="D77" s="61"/>
      <c r="E77" s="73" t="s">
        <v>678</v>
      </c>
      <c r="F77">
        <f>IFERROR(AVERAGEIF($A:$A,E77,$C:$C),"")</f>
        <v>0.19999999999999998</v>
      </c>
      <c r="G77">
        <f>IF(F77&lt;0.25,F77,"")</f>
        <v>0.19999999999999998</v>
      </c>
      <c r="H77" t="str">
        <f>IF(AND(F77&gt;=0.25,F77&lt;0.5),F77,"")</f>
        <v/>
      </c>
      <c r="I77" t="str">
        <f>IF(AND(F77&gt;=0.5,F77&lt;0.75),F77,"")</f>
        <v/>
      </c>
      <c r="J77" t="str">
        <f>IF(F77&gt;=0.75,F77,"")</f>
        <v/>
      </c>
      <c r="K77"/>
      <c r="L77"/>
      <c r="O77" s="390"/>
      <c r="P77" s="141" t="s">
        <v>211</v>
      </c>
      <c r="Q77" s="407">
        <f t="shared" ref="Q77:Q90" si="12">B51</f>
        <v>0.2</v>
      </c>
      <c r="R77" s="408"/>
      <c r="S77" s="434" t="s">
        <v>816</v>
      </c>
      <c r="T77" s="434"/>
      <c r="U77" s="434"/>
      <c r="V77" s="434"/>
      <c r="W77" s="434"/>
      <c r="X77" s="434"/>
      <c r="Y77" s="434"/>
      <c r="Z77" s="434"/>
      <c r="AA77" s="434"/>
      <c r="AB77" s="434"/>
      <c r="AC77" s="434"/>
      <c r="AD77" s="140" t="str">
        <f t="shared" ref="AD77:AD90" si="13">IF(B259&lt;25%,"Direct aandacht vereist",IF(B259&lt;50%,"Aandachtspunt",IF(B259&lt;75%,"Redelijk beheerst","Goed beheerst")))</f>
        <v>Direct aandacht vereist</v>
      </c>
      <c r="AE77" s="136"/>
      <c r="AF77" s="399" t="s">
        <v>832</v>
      </c>
      <c r="AG77" s="399"/>
      <c r="AH77" s="401" t="str" cm="1">
        <f t="array" ref="AH77">IFERROR(_xlfn.TEXTJOIN(", ",TRUE,_xlfn._xlws.FILTER($P$76:$P$90,(ISNUMBER(SEARCH($AF77,$S$76:$S$90)))*($AD$76:$AD$90="Direct aandacht vereist"))),"")</f>
        <v>Inwinning, Bevriezing, Maskering, Metagegevensbeheer, Opname, Opslag, Publicatie, Toegangsbeheer, Uitwisseling, Validatie, Verantwoording, Vernietiging, Zoeken</v>
      </c>
      <c r="AI77" s="401"/>
      <c r="AJ77" s="401"/>
      <c r="AK77" s="401"/>
      <c r="AL77" s="401"/>
      <c r="AM77" s="402"/>
      <c r="AN77" s="440" t="str" cm="1">
        <f t="array" ref="AN77">IFERROR(_xlfn.TEXTJOIN(", ",TRUE,_xlfn._xlws.FILTER($P$76:$P$90,(ISNUMBER(SEARCH($AF77,$S$76:$S$90)))*($AD$76:$AD$90="Aandachtspunt"))),"")</f>
        <v/>
      </c>
      <c r="AO77" s="440"/>
      <c r="AP77" s="440"/>
      <c r="AQ77" s="143" t="str" cm="1">
        <f t="array" ref="AQ77">IFERROR(_xlfn.TEXTJOIN(", ",TRUE,_xlfn._xlws.FILTER($P$76:$P$90,(ISNUMBER(SEARCH($AF77,$S$76:$S$90)))*($AD$76:$AD$90="Redelijk beheerst"))),"")</f>
        <v/>
      </c>
      <c r="AR77" s="399" t="str" cm="1">
        <f t="array" ref="AR77">IFERROR(_xlfn.TEXTJOIN(", ",TRUE,_xlfn._xlws.FILTER($P$76:$P$90,(ISNUMBER(SEARCH($AF77,$S$76:$S$90)))*($AD$76:$AD$90="Goed beheerst"))),"")</f>
        <v/>
      </c>
      <c r="AS77" s="399"/>
      <c r="AT77" s="442"/>
      <c r="AU77" s="49"/>
      <c r="AV77" s="188"/>
    </row>
    <row r="78" spans="1:48" ht="15">
      <c r="A78" s="82" t="s">
        <v>678</v>
      </c>
      <c r="B78" s="82" t="s">
        <v>93</v>
      </c>
      <c r="C78">
        <f t="shared" ref="C78:C115" si="14">_xlfn.XLOOKUP(B78,$A$50:$A$64,$B$50:$B$64,"")</f>
        <v>0.2</v>
      </c>
      <c r="D78" s="60"/>
      <c r="E78" s="22" t="s">
        <v>253</v>
      </c>
      <c r="F78">
        <f>IFERROR(AVERAGEIF($A:$A,E78,$C:$C),"")</f>
        <v>0.19999999999999998</v>
      </c>
      <c r="G78">
        <f>IF(F78&lt;0.25,F78,"")</f>
        <v>0.19999999999999998</v>
      </c>
      <c r="H78" t="str">
        <f>IF(AND(F78&gt;=0.25,F78&lt;0.5),F78,"")</f>
        <v/>
      </c>
      <c r="I78" t="str">
        <f>IF(AND(F78&gt;=0.5,F78&lt;0.75),F78,"")</f>
        <v/>
      </c>
      <c r="J78" t="str">
        <f>IF(F78&gt;=0.75,F78,"")</f>
        <v/>
      </c>
      <c r="K78"/>
      <c r="L78"/>
      <c r="O78" s="390"/>
      <c r="P78" s="141" t="s">
        <v>214</v>
      </c>
      <c r="Q78" s="407">
        <f t="shared" si="12"/>
        <v>0.2</v>
      </c>
      <c r="R78" s="408"/>
      <c r="S78" s="400" t="s">
        <v>817</v>
      </c>
      <c r="T78" s="400"/>
      <c r="U78" s="400"/>
      <c r="V78" s="400"/>
      <c r="W78" s="400"/>
      <c r="X78" s="400"/>
      <c r="Y78" s="400"/>
      <c r="Z78" s="400"/>
      <c r="AA78" s="400"/>
      <c r="AB78" s="400"/>
      <c r="AC78" s="400"/>
      <c r="AD78" s="140" t="str">
        <f t="shared" si="13"/>
        <v>Direct aandacht vereist</v>
      </c>
      <c r="AE78" s="136"/>
      <c r="AF78" s="399" t="s">
        <v>833</v>
      </c>
      <c r="AG78" s="399"/>
      <c r="AH78" s="401" t="str" cm="1">
        <f t="array" ref="AH78">IFERROR(_xlfn.TEXTJOIN(", ",TRUE,_xlfn._xlws.FILTER($P$76:$P$90,(ISNUMBER(SEARCH($AF78,$S$76:$S$90)))*($AD$76:$AD$90="Direct aandacht vereist"))),"")</f>
        <v>Bevriezing, Maskering, Metagegevensbeheer, Opname, Opslag, Publicatie, Toegangsbeheer, Uitwisseling, Validatie, Verantwoording, Vernietiging</v>
      </c>
      <c r="AI78" s="401"/>
      <c r="AJ78" s="401"/>
      <c r="AK78" s="401"/>
      <c r="AL78" s="401"/>
      <c r="AM78" s="402"/>
      <c r="AN78" s="440" t="str" cm="1">
        <f t="array" ref="AN78">IFERROR(_xlfn.TEXTJOIN(", ",TRUE,_xlfn._xlws.FILTER($P$76:$P$90,(ISNUMBER(SEARCH($AF78,$S$76:$S$90)))*($AD$76:$AD$90="Aandachtspunt"))),"")</f>
        <v/>
      </c>
      <c r="AO78" s="440"/>
      <c r="AP78" s="440"/>
      <c r="AQ78" s="143" t="str" cm="1">
        <f t="array" ref="AQ78">IFERROR(_xlfn.TEXTJOIN(", ",TRUE,_xlfn._xlws.FILTER($P$76:$P$90,(ISNUMBER(SEARCH($AF78,$S$76:$S$90)))*($AD$76:$AD$90="Redelijk beheerst"))),"")</f>
        <v/>
      </c>
      <c r="AR78" s="399" t="str" cm="1">
        <f t="array" ref="AR78">IFERROR(_xlfn.TEXTJOIN(", ",TRUE,_xlfn._xlws.FILTER($P$76:$P$90,(ISNUMBER(SEARCH($AF78,$S$76:$S$90)))*($AD$76:$AD$90="Goed beheerst"))),"")</f>
        <v/>
      </c>
      <c r="AS78" s="399"/>
      <c r="AT78" s="442"/>
      <c r="AU78" s="48"/>
      <c r="AV78" s="188"/>
    </row>
    <row r="79" spans="1:48" ht="15">
      <c r="A79" s="82" t="s">
        <v>678</v>
      </c>
      <c r="B79" s="82" t="s">
        <v>137</v>
      </c>
      <c r="C79">
        <f t="shared" si="14"/>
        <v>0.2</v>
      </c>
      <c r="D79" s="71"/>
      <c r="E79" s="22" t="s">
        <v>209</v>
      </c>
      <c r="F79">
        <f>IFERROR(AVERAGEIF($A:$A,E79,$C:$C),"")</f>
        <v>0.19999999999999998</v>
      </c>
      <c r="G79">
        <f>IF(F79&lt;0.25,F79,"")</f>
        <v>0.19999999999999998</v>
      </c>
      <c r="H79" t="str">
        <f>IF(AND(F79&gt;=0.25,F79&lt;0.5),F79,"")</f>
        <v/>
      </c>
      <c r="I79" t="str">
        <f>IF(AND(F79&gt;=0.5,F79&lt;0.75),F79,"")</f>
        <v/>
      </c>
      <c r="J79" t="str">
        <f>IF(F79&gt;=0.75,F79,"")</f>
        <v/>
      </c>
      <c r="K79"/>
      <c r="L79"/>
      <c r="O79" s="390"/>
      <c r="P79" s="141" t="s">
        <v>316</v>
      </c>
      <c r="Q79" s="407">
        <f t="shared" si="12"/>
        <v>0.2</v>
      </c>
      <c r="R79" s="408"/>
      <c r="S79" s="400" t="s">
        <v>818</v>
      </c>
      <c r="T79" s="400"/>
      <c r="U79" s="400"/>
      <c r="V79" s="400"/>
      <c r="W79" s="400"/>
      <c r="X79" s="400"/>
      <c r="Y79" s="400"/>
      <c r="Z79" s="400"/>
      <c r="AA79" s="400"/>
      <c r="AB79" s="400"/>
      <c r="AC79" s="400"/>
      <c r="AD79" s="140" t="str">
        <f t="shared" si="13"/>
        <v>Direct aandacht vereist</v>
      </c>
      <c r="AE79" s="136"/>
      <c r="AF79" s="399" t="s">
        <v>772</v>
      </c>
      <c r="AG79" s="399"/>
      <c r="AH79" s="401" t="str" cm="1">
        <f t="array" ref="AH79">IFERROR(_xlfn.TEXTJOIN(", ",TRUE,_xlfn._xlws.FILTER($P$76:$P$90,(ISNUMBER(SEARCH($AF79,$S$76:$S$90)))*($AD$76:$AD$90="Direct aandacht vereist"))),"")</f>
        <v>Bevriezing, Opslag, Toegangsbeheer, Validatie, Verantwoording, Vernietiging</v>
      </c>
      <c r="AI79" s="401"/>
      <c r="AJ79" s="401"/>
      <c r="AK79" s="401"/>
      <c r="AL79" s="401"/>
      <c r="AM79" s="402"/>
      <c r="AN79" s="440" t="str" cm="1">
        <f t="array" ref="AN79">IFERROR(_xlfn.TEXTJOIN(", ",TRUE,_xlfn._xlws.FILTER($P$76:$P$90,(ISNUMBER(SEARCH($AF79,$S$76:$S$90)))*($AD$76:$AD$90="Aandachtspunt"))),"")</f>
        <v/>
      </c>
      <c r="AO79" s="440"/>
      <c r="AP79" s="440"/>
      <c r="AQ79" s="143" t="str" cm="1">
        <f t="array" ref="AQ79">IFERROR(_xlfn.TEXTJOIN(", ",TRUE,_xlfn._xlws.FILTER($P$76:$P$90,(ISNUMBER(SEARCH($AF79,$S$76:$S$90)))*($AD$76:$AD$90="Redelijk beheerst"))),"")</f>
        <v/>
      </c>
      <c r="AR79" s="399" t="str" cm="1">
        <f t="array" ref="AR79">IFERROR(_xlfn.TEXTJOIN(", ",TRUE,_xlfn._xlws.FILTER($P$76:$P$90,(ISNUMBER(SEARCH($AF79,$S$76:$S$90)))*($AD$76:$AD$90="Goed beheerst"))),"")</f>
        <v/>
      </c>
      <c r="AS79" s="399"/>
      <c r="AT79" s="442"/>
      <c r="AU79" s="48"/>
      <c r="AV79" s="188"/>
    </row>
    <row r="80" spans="1:48" ht="15">
      <c r="A80" s="82" t="s">
        <v>678</v>
      </c>
      <c r="B80" s="82" t="s">
        <v>122</v>
      </c>
      <c r="C80">
        <f t="shared" si="14"/>
        <v>0.2</v>
      </c>
      <c r="D80" s="71"/>
      <c r="E80" s="22" t="s">
        <v>155</v>
      </c>
      <c r="F80">
        <f>IFERROR(AVERAGEIF($A:$A,E80,$C:$C),"")</f>
        <v>0.19999999999999998</v>
      </c>
      <c r="G80">
        <f>IF(F80&lt;0.25,F80,"")</f>
        <v>0.19999999999999998</v>
      </c>
      <c r="H80" t="str">
        <f>IF(AND(F80&gt;=0.25,F80&lt;0.5),F80,"")</f>
        <v/>
      </c>
      <c r="I80" t="str">
        <f>IF(AND(F80&gt;=0.5,F80&lt;0.75),F80,"")</f>
        <v/>
      </c>
      <c r="J80" t="str">
        <f>IF(F80&gt;=0.75,F80,"")</f>
        <v/>
      </c>
      <c r="K80"/>
      <c r="L80"/>
      <c r="O80" s="390"/>
      <c r="P80" s="141" t="s">
        <v>97</v>
      </c>
      <c r="Q80" s="407">
        <f t="shared" si="12"/>
        <v>0.2</v>
      </c>
      <c r="R80" s="408"/>
      <c r="S80" s="400" t="s">
        <v>819</v>
      </c>
      <c r="T80" s="400"/>
      <c r="U80" s="400"/>
      <c r="V80" s="400"/>
      <c r="W80" s="400"/>
      <c r="X80" s="400"/>
      <c r="Y80" s="400"/>
      <c r="Z80" s="400"/>
      <c r="AA80" s="400"/>
      <c r="AB80" s="400"/>
      <c r="AC80" s="400"/>
      <c r="AD80" s="140" t="str">
        <f t="shared" si="13"/>
        <v>Direct aandacht vereist</v>
      </c>
      <c r="AE80" s="136"/>
      <c r="AF80" s="399" t="s">
        <v>834</v>
      </c>
      <c r="AG80" s="399"/>
      <c r="AH80" s="401" t="str" cm="1">
        <f t="array" ref="AH80">IFERROR(_xlfn.TEXTJOIN(", ",TRUE,_xlfn._xlws.FILTER($P$76:$P$90,(ISNUMBER(SEARCH($AF80,$S$76:$S$90)))*($AD$76:$AD$90="Direct aandacht vereist"))),"")</f>
        <v>Opname, Opslag, Representatie, Toegangsbeheer, Uitwisseling, Validatie</v>
      </c>
      <c r="AI80" s="401"/>
      <c r="AJ80" s="401"/>
      <c r="AK80" s="401"/>
      <c r="AL80" s="401"/>
      <c r="AM80" s="402"/>
      <c r="AN80" s="440" t="str" cm="1">
        <f t="array" ref="AN80">IFERROR(_xlfn.TEXTJOIN(", ",TRUE,_xlfn._xlws.FILTER($P$76:$P$90,(ISNUMBER(SEARCH($AF80,$S$76:$S$90)))*($AD$76:$AD$90="Aandachtspunt"))),"")</f>
        <v/>
      </c>
      <c r="AO80" s="440"/>
      <c r="AP80" s="440"/>
      <c r="AQ80" s="143" t="str" cm="1">
        <f t="array" ref="AQ80">IFERROR(_xlfn.TEXTJOIN(", ",TRUE,_xlfn._xlws.FILTER($P$76:$P$90,(ISNUMBER(SEARCH($AF80,$S$76:$S$90)))*($AD$76:$AD$90="Redelijk beheerst"))),"")</f>
        <v/>
      </c>
      <c r="AR80" s="399" t="str" cm="1">
        <f t="array" ref="AR80">IFERROR(_xlfn.TEXTJOIN(", ",TRUE,_xlfn._xlws.FILTER($P$76:$P$90,(ISNUMBER(SEARCH($AF80,$S$76:$S$90)))*($AD$76:$AD$90="Goed beheerst"))),"")</f>
        <v/>
      </c>
      <c r="AS80" s="399"/>
      <c r="AT80" s="442"/>
      <c r="AU80" s="48"/>
      <c r="AV80" s="188"/>
    </row>
    <row r="81" spans="1:49" ht="28.5">
      <c r="A81" s="82" t="s">
        <v>678</v>
      </c>
      <c r="B81" s="82" t="s">
        <v>97</v>
      </c>
      <c r="C81">
        <f t="shared" si="14"/>
        <v>0.2</v>
      </c>
      <c r="D81" s="71"/>
      <c r="E81" s="22" t="s">
        <v>288</v>
      </c>
      <c r="F81">
        <f>IFERROR(AVERAGEIF($A:$A,E81,$C:$C),"")</f>
        <v>0.19999999999999998</v>
      </c>
      <c r="G81">
        <f>IF(F81&lt;0.25,F81,"")</f>
        <v>0.19999999999999998</v>
      </c>
      <c r="H81" t="str">
        <f>IF(AND(F81&gt;=0.25,F81&lt;0.5),F81,"")</f>
        <v/>
      </c>
      <c r="I81" t="str">
        <f>IF(AND(F81&gt;=0.5,F81&lt;0.75),F81,"")</f>
        <v/>
      </c>
      <c r="J81" t="str">
        <f>IF(F81&gt;=0.75,F81,"")</f>
        <v/>
      </c>
      <c r="K81"/>
      <c r="L81"/>
      <c r="O81" s="390"/>
      <c r="P81" s="141" t="s">
        <v>122</v>
      </c>
      <c r="Q81" s="407">
        <f t="shared" si="12"/>
        <v>0.2</v>
      </c>
      <c r="R81" s="408"/>
      <c r="S81" s="400" t="s">
        <v>820</v>
      </c>
      <c r="T81" s="400"/>
      <c r="U81" s="400"/>
      <c r="V81" s="400"/>
      <c r="W81" s="400"/>
      <c r="X81" s="400"/>
      <c r="Y81" s="400"/>
      <c r="Z81" s="400"/>
      <c r="AA81" s="400"/>
      <c r="AB81" s="400"/>
      <c r="AC81" s="400"/>
      <c r="AD81" s="140" t="str">
        <f t="shared" si="13"/>
        <v>Direct aandacht vereist</v>
      </c>
      <c r="AE81" s="136"/>
      <c r="AF81" s="399" t="s">
        <v>835</v>
      </c>
      <c r="AG81" s="399"/>
      <c r="AH81" s="401" t="str" cm="1">
        <f t="array" ref="AH81">IFERROR(_xlfn.TEXTJOIN(", ",TRUE,_xlfn._xlws.FILTER($P$76:$P$90,(ISNUMBER(SEARCH($AF81,$S$76:$S$90)))*($AD$76:$AD$90="Direct aandacht vereist"))),"")</f>
        <v>Inwinning, Bevriezing, Conversie, Metagegevensbeheer, Opname, Opslag, Representatie, Toegangsbeheer, Uitwisseling, Validatie, Verantwoording, Vernietiging, Zoeken</v>
      </c>
      <c r="AI81" s="401"/>
      <c r="AJ81" s="401"/>
      <c r="AK81" s="401"/>
      <c r="AL81" s="401"/>
      <c r="AM81" s="402"/>
      <c r="AN81" s="440" t="str" cm="1">
        <f t="array" ref="AN81">IFERROR(_xlfn.TEXTJOIN(", ",TRUE,_xlfn._xlws.FILTER($P$76:$P$90,(ISNUMBER(SEARCH($AF81,$S$76:$S$90)))*($AD$76:$AD$90="Aandachtspunt"))),"")</f>
        <v/>
      </c>
      <c r="AO81" s="440"/>
      <c r="AP81" s="440"/>
      <c r="AQ81" s="143" t="str" cm="1">
        <f t="array" ref="AQ81">IFERROR(_xlfn.TEXTJOIN(", ",TRUE,_xlfn._xlws.FILTER($P$76:$P$90,(ISNUMBER(SEARCH($AF81,$S$76:$S$90)))*($AD$76:$AD$90="Redelijk beheerst"))),"")</f>
        <v/>
      </c>
      <c r="AR81" s="399" t="str" cm="1">
        <f t="array" ref="AR81">IFERROR(_xlfn.TEXTJOIN(", ",TRUE,_xlfn._xlws.FILTER($P$76:$P$90,(ISNUMBER(SEARCH($AF81,$S$76:$S$90)))*($AD$76:$AD$90="Goed beheerst"))),"")</f>
        <v/>
      </c>
      <c r="AS81" s="399"/>
      <c r="AT81" s="442"/>
      <c r="AU81" s="48"/>
      <c r="AV81" s="188"/>
    </row>
    <row r="82" spans="1:49" ht="15">
      <c r="A82" s="82" t="s">
        <v>678</v>
      </c>
      <c r="B82" s="82" t="s">
        <v>129</v>
      </c>
      <c r="C82">
        <f t="shared" si="14"/>
        <v>0.2</v>
      </c>
      <c r="D82" s="71"/>
      <c r="E82" s="71"/>
      <c r="O82" s="390"/>
      <c r="P82" s="141" t="s">
        <v>129</v>
      </c>
      <c r="Q82" s="407">
        <f t="shared" si="12"/>
        <v>0.2</v>
      </c>
      <c r="R82" s="408"/>
      <c r="S82" s="400" t="s">
        <v>821</v>
      </c>
      <c r="T82" s="400"/>
      <c r="U82" s="400"/>
      <c r="V82" s="400"/>
      <c r="W82" s="400"/>
      <c r="X82" s="400"/>
      <c r="Y82" s="400"/>
      <c r="Z82" s="400"/>
      <c r="AA82" s="400"/>
      <c r="AB82" s="400"/>
      <c r="AC82" s="400"/>
      <c r="AD82" s="140" t="str">
        <f t="shared" si="13"/>
        <v>Direct aandacht vereist</v>
      </c>
      <c r="AE82" s="136"/>
      <c r="AF82" s="399" t="s">
        <v>836</v>
      </c>
      <c r="AG82" s="399"/>
      <c r="AH82" s="401" t="str" cm="1">
        <f t="array" ref="AH82">IFERROR(_xlfn.TEXTJOIN(", ",TRUE,_xlfn._xlws.FILTER($P$76:$P$90,(ISNUMBER(SEARCH($AF82,$S$76:$S$90)))*($AD$76:$AD$90="Direct aandacht vereist"))),"")</f>
        <v>Maskering, Metagegevensbeheer, Publicatie, Verantwoording, Vernietiging, Zoeken</v>
      </c>
      <c r="AI82" s="401"/>
      <c r="AJ82" s="401"/>
      <c r="AK82" s="401"/>
      <c r="AL82" s="401"/>
      <c r="AM82" s="402"/>
      <c r="AN82" s="440" t="str" cm="1">
        <f t="array" ref="AN82">IFERROR(_xlfn.TEXTJOIN(", ",TRUE,_xlfn._xlws.FILTER($P$76:$P$90,(ISNUMBER(SEARCH($AF82,$S$76:$S$90)))*($AD$76:$AD$90="Aandachtspunt"))),"")</f>
        <v/>
      </c>
      <c r="AO82" s="440"/>
      <c r="AP82" s="440"/>
      <c r="AQ82" s="143" t="str" cm="1">
        <f t="array" ref="AQ82">IFERROR(_xlfn.TEXTJOIN(", ",TRUE,_xlfn._xlws.FILTER($P$76:$P$90,(ISNUMBER(SEARCH($AF82,$S$76:$S$90)))*($AD$76:$AD$90="Redelijk beheerst"))),"")</f>
        <v/>
      </c>
      <c r="AR82" s="399" t="str" cm="1">
        <f t="array" ref="AR82">IFERROR(_xlfn.TEXTJOIN(", ",TRUE,_xlfn._xlws.FILTER($P$76:$P$90,(ISNUMBER(SEARCH($AF82,$S$76:$S$90)))*($AD$76:$AD$90="Goed beheerst"))),"")</f>
        <v/>
      </c>
      <c r="AS82" s="399"/>
      <c r="AT82" s="442"/>
      <c r="AU82" s="48"/>
      <c r="AV82" s="188"/>
    </row>
    <row r="83" spans="1:49" ht="15">
      <c r="A83" s="82" t="s">
        <v>253</v>
      </c>
      <c r="B83" s="82" t="s">
        <v>133</v>
      </c>
      <c r="C83">
        <f t="shared" si="14"/>
        <v>0.2</v>
      </c>
      <c r="O83" s="390"/>
      <c r="P83" s="141" t="s">
        <v>296</v>
      </c>
      <c r="Q83" s="407">
        <f t="shared" si="12"/>
        <v>0.2</v>
      </c>
      <c r="R83" s="408"/>
      <c r="S83" s="400" t="s">
        <v>822</v>
      </c>
      <c r="T83" s="400"/>
      <c r="U83" s="400"/>
      <c r="V83" s="400"/>
      <c r="W83" s="400"/>
      <c r="X83" s="400"/>
      <c r="Y83" s="400"/>
      <c r="Z83" s="400"/>
      <c r="AA83" s="400"/>
      <c r="AB83" s="400"/>
      <c r="AC83" s="400"/>
      <c r="AD83" s="140" t="str">
        <f t="shared" si="13"/>
        <v>Direct aandacht vereist</v>
      </c>
      <c r="AE83" s="136"/>
      <c r="AF83" s="399" t="s">
        <v>8</v>
      </c>
      <c r="AG83" s="399"/>
      <c r="AH83" s="401" t="str" cm="1">
        <f t="array" ref="AH83">IFERROR(_xlfn.TEXTJOIN(", ",TRUE,_xlfn._xlws.FILTER($P$76:$P$90,(ISNUMBER(SEARCH($AF83,$S$76:$S$90)))*($AD$76:$AD$90="Direct aandacht vereist"))),"")</f>
        <v>Bevriezing, Metagegevensbeheer, Publicatie, Toegangsbeheer, Uitwisseling, Validatie, Verantwoording, Vernietiging</v>
      </c>
      <c r="AI83" s="401"/>
      <c r="AJ83" s="401"/>
      <c r="AK83" s="401"/>
      <c r="AL83" s="401"/>
      <c r="AM83" s="402"/>
      <c r="AN83" s="440" t="str" cm="1">
        <f t="array" ref="AN83">IFERROR(_xlfn.TEXTJOIN(", ",TRUE,_xlfn._xlws.FILTER($P$76:$P$90,(ISNUMBER(SEARCH($AF83,$S$76:$S$90)))*($AD$76:$AD$90="Aandachtspunt"))),"")</f>
        <v/>
      </c>
      <c r="AO83" s="440"/>
      <c r="AP83" s="440"/>
      <c r="AQ83" s="143" t="str" cm="1">
        <f t="array" ref="AQ83">IFERROR(_xlfn.TEXTJOIN(", ",TRUE,_xlfn._xlws.FILTER($P$76:$P$90,(ISNUMBER(SEARCH($AF83,$S$76:$S$90)))*($AD$76:$AD$90="Redelijk beheerst"))),"")</f>
        <v/>
      </c>
      <c r="AR83" s="399" t="str" cm="1">
        <f t="array" ref="AR83">IFERROR(_xlfn.TEXTJOIN(", ",TRUE,_xlfn._xlws.FILTER($P$76:$P$90,(ISNUMBER(SEARCH($AF83,$S$76:$S$90)))*($AD$76:$AD$90="Goed beheerst"))),"")</f>
        <v/>
      </c>
      <c r="AS83" s="399"/>
      <c r="AT83" s="442"/>
      <c r="AU83" s="48"/>
      <c r="AV83" s="188"/>
    </row>
    <row r="84" spans="1:49" ht="15.75" thickBot="1">
      <c r="A84" s="82" t="s">
        <v>253</v>
      </c>
      <c r="B84" s="82" t="s">
        <v>97</v>
      </c>
      <c r="C84">
        <f t="shared" si="14"/>
        <v>0.2</v>
      </c>
      <c r="D84" s="55"/>
      <c r="M84" s="64"/>
      <c r="O84" s="390"/>
      <c r="P84" s="141" t="s">
        <v>302</v>
      </c>
      <c r="Q84" s="407">
        <f t="shared" si="12"/>
        <v>0.2</v>
      </c>
      <c r="R84" s="408"/>
      <c r="S84" s="400" t="s">
        <v>823</v>
      </c>
      <c r="T84" s="400"/>
      <c r="U84" s="400"/>
      <c r="V84" s="400"/>
      <c r="W84" s="400"/>
      <c r="X84" s="400"/>
      <c r="Y84" s="400"/>
      <c r="Z84" s="400"/>
      <c r="AA84" s="400"/>
      <c r="AB84" s="400"/>
      <c r="AC84" s="400"/>
      <c r="AD84" s="140" t="str">
        <f t="shared" si="13"/>
        <v>Direct aandacht vereist</v>
      </c>
      <c r="AE84" s="136"/>
      <c r="AF84" s="147"/>
      <c r="AG84" s="147"/>
      <c r="AH84" s="147"/>
      <c r="AI84" s="147"/>
      <c r="AJ84" s="147"/>
      <c r="AK84" s="147"/>
      <c r="AL84" s="136"/>
      <c r="AM84" s="136"/>
      <c r="AN84" s="136"/>
      <c r="AO84" s="136"/>
      <c r="AP84" s="136"/>
      <c r="AQ84" s="136"/>
      <c r="AR84" s="136"/>
      <c r="AS84" s="136"/>
      <c r="AT84" s="148"/>
      <c r="AU84" s="148"/>
      <c r="AV84" s="149"/>
      <c r="AW84" s="45"/>
    </row>
    <row r="85" spans="1:49" ht="14.45" customHeight="1">
      <c r="A85" s="82" t="s">
        <v>253</v>
      </c>
      <c r="B85" s="82" t="s">
        <v>183</v>
      </c>
      <c r="C85">
        <f t="shared" si="14"/>
        <v>0.2</v>
      </c>
      <c r="D85" s="70"/>
      <c r="M85" s="70"/>
      <c r="O85" s="390"/>
      <c r="P85" s="141" t="s">
        <v>133</v>
      </c>
      <c r="Q85" s="407">
        <f t="shared" si="12"/>
        <v>0.2</v>
      </c>
      <c r="R85" s="408"/>
      <c r="S85" s="400" t="s">
        <v>824</v>
      </c>
      <c r="T85" s="400"/>
      <c r="U85" s="400"/>
      <c r="V85" s="400"/>
      <c r="W85" s="400"/>
      <c r="X85" s="400"/>
      <c r="Y85" s="400"/>
      <c r="Z85" s="400"/>
      <c r="AA85" s="400"/>
      <c r="AB85" s="400"/>
      <c r="AC85" s="400"/>
      <c r="AD85" s="140" t="str">
        <f t="shared" si="13"/>
        <v>Direct aandacht vereist</v>
      </c>
      <c r="AE85" s="136"/>
      <c r="AF85" s="378" t="s">
        <v>840</v>
      </c>
      <c r="AG85" s="379"/>
      <c r="AH85" s="379"/>
      <c r="AI85" s="379"/>
      <c r="AJ85" s="379"/>
      <c r="AK85" s="379"/>
      <c r="AL85" s="379"/>
      <c r="AM85" s="379"/>
      <c r="AN85" s="379"/>
      <c r="AO85" s="379"/>
      <c r="AP85" s="379"/>
      <c r="AQ85" s="379"/>
      <c r="AR85" s="379"/>
      <c r="AS85" s="379"/>
      <c r="AT85" s="394"/>
      <c r="AU85" s="148"/>
      <c r="AV85" s="149"/>
      <c r="AW85" s="45"/>
    </row>
    <row r="86" spans="1:49" ht="15">
      <c r="A86" s="82" t="s">
        <v>253</v>
      </c>
      <c r="B86" s="82" t="s">
        <v>122</v>
      </c>
      <c r="C86">
        <f t="shared" si="14"/>
        <v>0.2</v>
      </c>
      <c r="D86" s="70"/>
      <c r="M86" s="70"/>
      <c r="O86" s="390"/>
      <c r="P86" s="141" t="s">
        <v>263</v>
      </c>
      <c r="Q86" s="407">
        <f t="shared" si="12"/>
        <v>0.2</v>
      </c>
      <c r="R86" s="408"/>
      <c r="S86" s="400" t="s">
        <v>825</v>
      </c>
      <c r="T86" s="400"/>
      <c r="U86" s="400"/>
      <c r="V86" s="400"/>
      <c r="W86" s="400"/>
      <c r="X86" s="400"/>
      <c r="Y86" s="400"/>
      <c r="Z86" s="400"/>
      <c r="AA86" s="400"/>
      <c r="AB86" s="400"/>
      <c r="AC86" s="400"/>
      <c r="AD86" s="140" t="str">
        <f t="shared" si="13"/>
        <v>Direct aandacht vereist</v>
      </c>
      <c r="AE86" s="136"/>
      <c r="AF86" s="395"/>
      <c r="AG86" s="396"/>
      <c r="AH86" s="396"/>
      <c r="AI86" s="396"/>
      <c r="AJ86" s="396"/>
      <c r="AK86" s="396"/>
      <c r="AL86" s="396"/>
      <c r="AM86" s="396"/>
      <c r="AN86" s="396"/>
      <c r="AO86" s="396"/>
      <c r="AP86" s="396"/>
      <c r="AQ86" s="396"/>
      <c r="AR86" s="396"/>
      <c r="AS86" s="396"/>
      <c r="AT86" s="397"/>
      <c r="AU86" s="148"/>
      <c r="AV86" s="149"/>
      <c r="AW86" s="45"/>
    </row>
    <row r="87" spans="1:49" ht="15.75" thickBot="1">
      <c r="A87" s="82" t="s">
        <v>253</v>
      </c>
      <c r="B87" s="82" t="s">
        <v>137</v>
      </c>
      <c r="C87">
        <f t="shared" si="14"/>
        <v>0.2</v>
      </c>
      <c r="D87" s="70"/>
      <c r="M87" s="70"/>
      <c r="O87" s="390"/>
      <c r="P87" s="141" t="s">
        <v>137</v>
      </c>
      <c r="Q87" s="407">
        <f t="shared" si="12"/>
        <v>0.2</v>
      </c>
      <c r="R87" s="408"/>
      <c r="S87" s="400" t="s">
        <v>824</v>
      </c>
      <c r="T87" s="400"/>
      <c r="U87" s="400"/>
      <c r="V87" s="400"/>
      <c r="W87" s="400"/>
      <c r="X87" s="400"/>
      <c r="Y87" s="400"/>
      <c r="Z87" s="400"/>
      <c r="AA87" s="400"/>
      <c r="AB87" s="400"/>
      <c r="AC87" s="400"/>
      <c r="AD87" s="140" t="str">
        <f t="shared" si="13"/>
        <v>Direct aandacht vereist</v>
      </c>
      <c r="AE87" s="136"/>
      <c r="AF87" s="380"/>
      <c r="AG87" s="381"/>
      <c r="AH87" s="381"/>
      <c r="AI87" s="381"/>
      <c r="AJ87" s="381"/>
      <c r="AK87" s="381"/>
      <c r="AL87" s="381"/>
      <c r="AM87" s="381"/>
      <c r="AN87" s="381"/>
      <c r="AO87" s="381"/>
      <c r="AP87" s="381"/>
      <c r="AQ87" s="381"/>
      <c r="AR87" s="381"/>
      <c r="AS87" s="381"/>
      <c r="AT87" s="398"/>
      <c r="AU87" s="148"/>
      <c r="AV87" s="149"/>
      <c r="AW87" s="45"/>
    </row>
    <row r="88" spans="1:49" ht="15">
      <c r="A88" s="82" t="s">
        <v>253</v>
      </c>
      <c r="B88" s="82" t="s">
        <v>129</v>
      </c>
      <c r="C88">
        <f t="shared" si="14"/>
        <v>0.2</v>
      </c>
      <c r="D88" s="70"/>
      <c r="M88" s="70"/>
      <c r="O88" s="390"/>
      <c r="P88" s="141" t="s">
        <v>169</v>
      </c>
      <c r="Q88" s="407">
        <f t="shared" si="12"/>
        <v>0.2</v>
      </c>
      <c r="R88" s="408"/>
      <c r="S88" s="400" t="s">
        <v>826</v>
      </c>
      <c r="T88" s="400"/>
      <c r="U88" s="400"/>
      <c r="V88" s="400"/>
      <c r="W88" s="400"/>
      <c r="X88" s="400"/>
      <c r="Y88" s="400"/>
      <c r="Z88" s="400"/>
      <c r="AA88" s="400"/>
      <c r="AB88" s="400"/>
      <c r="AC88" s="400"/>
      <c r="AD88" s="140" t="str">
        <f t="shared" si="13"/>
        <v>Direct aandacht vereist</v>
      </c>
      <c r="AE88" s="136"/>
      <c r="AF88" s="136"/>
      <c r="AG88" s="136"/>
      <c r="AH88" s="136"/>
      <c r="AI88" s="136"/>
      <c r="AJ88" s="136"/>
      <c r="AK88" s="136"/>
      <c r="AL88" s="136"/>
      <c r="AM88" s="136"/>
      <c r="AN88" s="136"/>
      <c r="AO88" s="136"/>
      <c r="AP88" s="136"/>
      <c r="AQ88" s="136"/>
      <c r="AR88" s="136"/>
      <c r="AS88" s="136"/>
      <c r="AT88" s="148"/>
      <c r="AU88" s="148"/>
      <c r="AV88" s="149"/>
      <c r="AW88" s="45"/>
    </row>
    <row r="89" spans="1:49" ht="15">
      <c r="A89" s="82" t="s">
        <v>253</v>
      </c>
      <c r="B89" s="82" t="s">
        <v>214</v>
      </c>
      <c r="C89">
        <f t="shared" si="14"/>
        <v>0.2</v>
      </c>
      <c r="M89" s="63"/>
      <c r="O89" s="390"/>
      <c r="P89" s="141" t="s">
        <v>176</v>
      </c>
      <c r="Q89" s="407">
        <f t="shared" si="12"/>
        <v>0.2</v>
      </c>
      <c r="R89" s="408"/>
      <c r="S89" s="400" t="s">
        <v>826</v>
      </c>
      <c r="T89" s="400"/>
      <c r="U89" s="400"/>
      <c r="V89" s="400"/>
      <c r="W89" s="400"/>
      <c r="X89" s="400"/>
      <c r="Y89" s="400"/>
      <c r="Z89" s="400"/>
      <c r="AA89" s="400"/>
      <c r="AB89" s="400"/>
      <c r="AC89" s="400"/>
      <c r="AD89" s="140" t="str">
        <f t="shared" si="13"/>
        <v>Direct aandacht vereist</v>
      </c>
      <c r="AE89" s="136"/>
      <c r="AF89" s="136"/>
      <c r="AG89" s="136"/>
      <c r="AH89" s="136"/>
      <c r="AI89" s="136"/>
      <c r="AJ89" s="136"/>
      <c r="AK89" s="136"/>
      <c r="AL89" s="136"/>
      <c r="AM89" s="136"/>
      <c r="AN89" s="136"/>
      <c r="AO89" s="136"/>
      <c r="AP89" s="136"/>
      <c r="AQ89" s="136"/>
      <c r="AR89" s="136"/>
      <c r="AS89" s="136"/>
      <c r="AT89" s="148"/>
      <c r="AU89" s="148"/>
      <c r="AV89" s="149"/>
      <c r="AW89" s="45"/>
    </row>
    <row r="90" spans="1:49" ht="15">
      <c r="A90" s="82" t="s">
        <v>253</v>
      </c>
      <c r="B90" s="82" t="s">
        <v>263</v>
      </c>
      <c r="C90">
        <f t="shared" si="14"/>
        <v>0.2</v>
      </c>
      <c r="E90" s="22"/>
      <c r="F90" s="22"/>
      <c r="G90" s="73"/>
      <c r="H90" s="73"/>
      <c r="I90" s="73"/>
      <c r="J90" s="73"/>
      <c r="K90" s="73"/>
      <c r="L90" s="73"/>
      <c r="O90" s="390"/>
      <c r="P90" s="141" t="s">
        <v>183</v>
      </c>
      <c r="Q90" s="407">
        <f t="shared" si="12"/>
        <v>0.2</v>
      </c>
      <c r="R90" s="408"/>
      <c r="S90" s="400" t="s">
        <v>827</v>
      </c>
      <c r="T90" s="400"/>
      <c r="U90" s="400"/>
      <c r="V90" s="400"/>
      <c r="W90" s="400"/>
      <c r="X90" s="400"/>
      <c r="Y90" s="400"/>
      <c r="Z90" s="400"/>
      <c r="AA90" s="400"/>
      <c r="AB90" s="400"/>
      <c r="AC90" s="400"/>
      <c r="AD90" s="140" t="str">
        <f t="shared" si="13"/>
        <v>Direct aandacht vereist</v>
      </c>
      <c r="AE90" s="136"/>
      <c r="AF90" s="136"/>
      <c r="AG90" s="136"/>
      <c r="AH90" s="136"/>
      <c r="AI90" s="136"/>
      <c r="AJ90" s="136"/>
      <c r="AK90" s="136"/>
      <c r="AL90" s="136"/>
      <c r="AM90" s="136"/>
      <c r="AN90" s="136"/>
      <c r="AO90" s="136"/>
      <c r="AP90" s="136"/>
      <c r="AQ90" s="136"/>
      <c r="AR90" s="136"/>
      <c r="AS90" s="136"/>
      <c r="AT90" s="148"/>
      <c r="AU90" s="148"/>
      <c r="AV90" s="149"/>
      <c r="AW90" s="45"/>
    </row>
    <row r="91" spans="1:49" ht="15.75" thickBot="1">
      <c r="A91" s="82" t="s">
        <v>253</v>
      </c>
      <c r="B91" s="82" t="s">
        <v>169</v>
      </c>
      <c r="C91">
        <f t="shared" si="14"/>
        <v>0.2</v>
      </c>
      <c r="E91" s="22"/>
      <c r="F91" s="22"/>
      <c r="G91" s="73"/>
      <c r="H91" s="73"/>
      <c r="I91" s="73"/>
      <c r="J91" s="73"/>
      <c r="K91" s="73"/>
      <c r="L91" s="73"/>
      <c r="O91" s="390"/>
      <c r="P91" s="136"/>
      <c r="Q91" s="136"/>
      <c r="R91" s="136"/>
      <c r="S91" s="136"/>
      <c r="T91" s="136"/>
      <c r="U91" s="136"/>
      <c r="V91" s="136"/>
      <c r="W91" s="136"/>
      <c r="X91" s="136"/>
      <c r="Y91" s="136"/>
      <c r="Z91" s="136"/>
      <c r="AA91" s="136"/>
      <c r="AB91" s="136"/>
      <c r="AC91" s="136"/>
      <c r="AD91" s="136"/>
      <c r="AE91" s="136"/>
      <c r="AF91" s="136"/>
      <c r="AG91" s="136"/>
      <c r="AH91" s="136"/>
      <c r="AI91" s="136"/>
      <c r="AJ91" s="136"/>
      <c r="AK91" s="136"/>
      <c r="AL91" s="136"/>
      <c r="AM91" s="136"/>
      <c r="AN91" s="136"/>
      <c r="AO91" s="136"/>
      <c r="AP91" s="136"/>
      <c r="AQ91" s="136"/>
      <c r="AR91" s="136"/>
      <c r="AS91" s="136"/>
      <c r="AT91" s="136"/>
      <c r="AU91" s="136"/>
      <c r="AV91" s="137"/>
    </row>
    <row r="92" spans="1:49" ht="14.45" customHeight="1">
      <c r="A92" s="82" t="s">
        <v>209</v>
      </c>
      <c r="B92" s="82" t="s">
        <v>97</v>
      </c>
      <c r="C92">
        <f t="shared" si="14"/>
        <v>0.2</v>
      </c>
      <c r="E92" s="22"/>
      <c r="F92" s="22"/>
      <c r="G92" s="73"/>
      <c r="H92" s="73"/>
      <c r="I92" s="73"/>
      <c r="J92" s="73"/>
      <c r="K92" s="73"/>
      <c r="L92" s="73"/>
      <c r="O92" s="390"/>
      <c r="P92" s="378" t="s">
        <v>830</v>
      </c>
      <c r="Q92" s="379"/>
      <c r="R92" s="379"/>
      <c r="S92" s="379"/>
      <c r="T92" s="379"/>
      <c r="U92" s="379"/>
      <c r="V92" s="379"/>
      <c r="W92" s="379"/>
      <c r="X92" s="379"/>
      <c r="Y92" s="379"/>
      <c r="Z92" s="379"/>
      <c r="AA92" s="379"/>
      <c r="AB92" s="379"/>
      <c r="AC92" s="379"/>
      <c r="AD92" s="394"/>
      <c r="AE92" s="136"/>
      <c r="AF92" s="136"/>
      <c r="AG92" s="136"/>
      <c r="AH92" s="136"/>
      <c r="AI92" s="136"/>
      <c r="AJ92" s="136"/>
      <c r="AK92" s="136"/>
      <c r="AL92" s="136"/>
      <c r="AM92" s="136"/>
      <c r="AN92" s="136"/>
      <c r="AO92" s="136"/>
      <c r="AP92" s="136"/>
      <c r="AQ92" s="136"/>
      <c r="AR92" s="136"/>
      <c r="AS92" s="136"/>
      <c r="AT92" s="136"/>
      <c r="AU92" s="136"/>
      <c r="AV92" s="137"/>
    </row>
    <row r="93" spans="1:49" ht="15">
      <c r="A93" s="82" t="s">
        <v>209</v>
      </c>
      <c r="B93" s="82" t="s">
        <v>133</v>
      </c>
      <c r="C93">
        <f t="shared" si="14"/>
        <v>0.2</v>
      </c>
      <c r="E93" s="22"/>
      <c r="F93" s="22"/>
      <c r="G93" s="73"/>
      <c r="H93" s="73"/>
      <c r="I93" s="73"/>
      <c r="J93" s="73"/>
      <c r="K93" s="73"/>
      <c r="L93" s="73"/>
      <c r="O93" s="390"/>
      <c r="P93" s="395"/>
      <c r="Q93" s="396"/>
      <c r="R93" s="396"/>
      <c r="S93" s="396"/>
      <c r="T93" s="396"/>
      <c r="U93" s="396"/>
      <c r="V93" s="396"/>
      <c r="W93" s="396"/>
      <c r="X93" s="396"/>
      <c r="Y93" s="396"/>
      <c r="Z93" s="396"/>
      <c r="AA93" s="396"/>
      <c r="AB93" s="396"/>
      <c r="AC93" s="396"/>
      <c r="AD93" s="397"/>
      <c r="AE93" s="136"/>
      <c r="AF93" s="136"/>
      <c r="AG93" s="136"/>
      <c r="AH93" s="136"/>
      <c r="AI93" s="136"/>
      <c r="AJ93" s="136"/>
      <c r="AK93" s="136"/>
      <c r="AL93" s="136"/>
      <c r="AM93" s="136"/>
      <c r="AN93" s="136"/>
      <c r="AO93" s="136"/>
      <c r="AP93" s="136"/>
      <c r="AQ93" s="136"/>
      <c r="AR93" s="136"/>
      <c r="AS93" s="136"/>
      <c r="AT93" s="136"/>
      <c r="AU93" s="136"/>
      <c r="AV93" s="137"/>
    </row>
    <row r="94" spans="1:49" ht="15.75" thickBot="1">
      <c r="A94" s="82" t="s">
        <v>209</v>
      </c>
      <c r="B94" s="82" t="s">
        <v>122</v>
      </c>
      <c r="C94">
        <f t="shared" si="14"/>
        <v>0.2</v>
      </c>
      <c r="E94" s="22"/>
      <c r="F94" s="22"/>
      <c r="G94" s="73"/>
      <c r="H94" s="73"/>
      <c r="I94" s="73"/>
      <c r="J94" s="73"/>
      <c r="K94" s="73"/>
      <c r="L94" s="73"/>
      <c r="O94" s="391"/>
      <c r="P94" s="380"/>
      <c r="Q94" s="381"/>
      <c r="R94" s="381"/>
      <c r="S94" s="381"/>
      <c r="T94" s="381"/>
      <c r="U94" s="381"/>
      <c r="V94" s="381"/>
      <c r="W94" s="381"/>
      <c r="X94" s="381"/>
      <c r="Y94" s="381"/>
      <c r="Z94" s="381"/>
      <c r="AA94" s="381"/>
      <c r="AB94" s="381"/>
      <c r="AC94" s="381"/>
      <c r="AD94" s="398"/>
      <c r="AE94" s="138"/>
      <c r="AF94" s="138"/>
      <c r="AG94" s="138"/>
      <c r="AH94" s="138"/>
      <c r="AI94" s="138"/>
      <c r="AJ94" s="138"/>
      <c r="AK94" s="138"/>
      <c r="AL94" s="138"/>
      <c r="AM94" s="138"/>
      <c r="AN94" s="138"/>
      <c r="AO94" s="138"/>
      <c r="AP94" s="138"/>
      <c r="AQ94" s="138"/>
      <c r="AR94" s="138"/>
      <c r="AS94" s="138"/>
      <c r="AT94" s="138"/>
      <c r="AU94" s="138"/>
      <c r="AV94" s="139"/>
    </row>
    <row r="95" spans="1:49" ht="40.5" customHeight="1">
      <c r="A95" s="82" t="s">
        <v>209</v>
      </c>
      <c r="B95" s="82" t="s">
        <v>137</v>
      </c>
      <c r="C95">
        <f t="shared" si="14"/>
        <v>0.2</v>
      </c>
      <c r="E95" s="22"/>
      <c r="F95" s="22"/>
      <c r="G95" s="73"/>
      <c r="H95" s="73"/>
      <c r="I95" s="73"/>
      <c r="J95" s="73"/>
      <c r="K95" s="73"/>
      <c r="L95" s="73"/>
    </row>
    <row r="96" spans="1:49" ht="28.5">
      <c r="A96" s="82" t="s">
        <v>209</v>
      </c>
      <c r="B96" s="82" t="s">
        <v>214</v>
      </c>
      <c r="C96">
        <f t="shared" si="14"/>
        <v>0.2</v>
      </c>
      <c r="E96" s="22"/>
      <c r="F96" s="22"/>
      <c r="G96" s="73"/>
      <c r="H96" s="73"/>
      <c r="I96" s="73"/>
      <c r="J96" s="73"/>
      <c r="K96" s="73"/>
      <c r="L96" s="73"/>
      <c r="M96"/>
      <c r="O96" s="422" t="s">
        <v>856</v>
      </c>
      <c r="P96" s="130" t="s">
        <v>841</v>
      </c>
      <c r="Q96" s="129" t="s">
        <v>828</v>
      </c>
      <c r="R96" s="129" t="s">
        <v>813</v>
      </c>
      <c r="S96" s="129" t="s">
        <v>842</v>
      </c>
      <c r="T96" s="171" t="s">
        <v>843</v>
      </c>
      <c r="U96" s="173"/>
      <c r="V96" s="153"/>
      <c r="W96" s="432" t="s">
        <v>851</v>
      </c>
      <c r="X96" s="432"/>
      <c r="Y96" s="432"/>
      <c r="Z96" s="432"/>
      <c r="AA96" s="432"/>
      <c r="AB96" s="432"/>
      <c r="AC96" s="432"/>
      <c r="AD96" s="432"/>
      <c r="AE96" s="432"/>
      <c r="AF96" s="169"/>
      <c r="AG96" s="432" t="s">
        <v>852</v>
      </c>
      <c r="AH96" s="432"/>
      <c r="AI96" s="432"/>
      <c r="AJ96" s="432"/>
      <c r="AK96" s="432"/>
      <c r="AL96" s="432"/>
      <c r="AM96" s="432"/>
      <c r="AN96" s="432"/>
      <c r="AO96" s="432"/>
      <c r="AP96" s="168"/>
      <c r="AQ96" s="168"/>
      <c r="AR96" s="168"/>
      <c r="AS96" s="168"/>
      <c r="AT96" s="153"/>
      <c r="AU96" s="153"/>
      <c r="AV96" s="153"/>
    </row>
    <row r="97" spans="1:48" ht="15" customHeight="1">
      <c r="A97" s="82" t="s">
        <v>209</v>
      </c>
      <c r="B97" s="82" t="s">
        <v>211</v>
      </c>
      <c r="C97">
        <f t="shared" si="14"/>
        <v>0.2</v>
      </c>
      <c r="E97" s="22"/>
      <c r="F97" s="22"/>
      <c r="G97" s="73"/>
      <c r="H97" s="73"/>
      <c r="I97" s="73"/>
      <c r="J97" s="73"/>
      <c r="K97" s="73"/>
      <c r="L97" s="73"/>
      <c r="M97"/>
      <c r="O97" s="422"/>
      <c r="P97" s="142" t="str">
        <f t="shared" ref="P97:Q111" si="15">P76</f>
        <v>Inwinning</v>
      </c>
      <c r="Q97" s="154">
        <f t="shared" si="15"/>
        <v>0.2</v>
      </c>
      <c r="R97" s="155">
        <f t="shared" ref="R97:R111" si="16">IF(S76="",0,LEN(S76)-LEN(SUBSTITUTE(S76,",",""))+1)</f>
        <v>3</v>
      </c>
      <c r="S97" s="156">
        <f>IFERROR((1-Q97)*R97,0)</f>
        <v>2.4000000000000004</v>
      </c>
      <c r="T97" s="172" t="str">
        <f>IF(S97&gt;=5,"Hoog",IF(S97&gt;=3,"Middel",IF(S97&gt;=1,"Laag","Geen")))</f>
        <v>Laag</v>
      </c>
      <c r="U97" s="174"/>
      <c r="V97" s="153"/>
      <c r="W97" s="409" t="s">
        <v>855</v>
      </c>
      <c r="X97" s="410"/>
      <c r="Y97" s="410"/>
      <c r="Z97" s="410"/>
      <c r="AA97" s="410"/>
      <c r="AB97" s="410"/>
      <c r="AC97" s="410"/>
      <c r="AD97" s="410"/>
      <c r="AE97" s="411"/>
      <c r="AF97" s="167"/>
      <c r="AG97" s="409" t="s">
        <v>855</v>
      </c>
      <c r="AH97" s="410"/>
      <c r="AI97" s="410"/>
      <c r="AJ97" s="410"/>
      <c r="AK97" s="410"/>
      <c r="AL97" s="410"/>
      <c r="AM97" s="410"/>
      <c r="AN97" s="410"/>
      <c r="AO97" s="411"/>
      <c r="AP97" s="167"/>
      <c r="AQ97" s="167"/>
      <c r="AR97" s="167"/>
      <c r="AS97" s="167"/>
      <c r="AT97" s="153"/>
      <c r="AU97" s="153"/>
      <c r="AV97" s="153"/>
    </row>
    <row r="98" spans="1:48" ht="15" customHeight="1">
      <c r="A98" s="82" t="s">
        <v>209</v>
      </c>
      <c r="B98" s="82" t="s">
        <v>129</v>
      </c>
      <c r="C98">
        <f t="shared" si="14"/>
        <v>0.2</v>
      </c>
      <c r="E98" s="22"/>
      <c r="F98" s="22"/>
      <c r="G98" s="73"/>
      <c r="H98" s="73"/>
      <c r="I98" s="73"/>
      <c r="J98" s="73"/>
      <c r="K98" s="73"/>
      <c r="L98" s="73"/>
      <c r="M98"/>
      <c r="O98" s="422"/>
      <c r="P98" s="142" t="str">
        <f t="shared" si="15"/>
        <v>Bevriezing</v>
      </c>
      <c r="Q98" s="154">
        <f t="shared" si="15"/>
        <v>0.2</v>
      </c>
      <c r="R98" s="155">
        <f t="shared" si="16"/>
        <v>5</v>
      </c>
      <c r="S98" s="156">
        <f t="shared" ref="S98:S111" si="17">IFERROR((1-Q98)*R98,0)</f>
        <v>4</v>
      </c>
      <c r="T98" s="172" t="str">
        <f t="shared" ref="T98:T111" si="18">IF(S98&gt;=5,"Hoog",IF(S98&gt;=3,"Middel",IF(S98&gt;=1,"Laag","Geen")))</f>
        <v>Middel</v>
      </c>
      <c r="U98" s="174"/>
      <c r="V98" s="153"/>
      <c r="W98" s="409" t="s">
        <v>855</v>
      </c>
      <c r="X98" s="410"/>
      <c r="Y98" s="410"/>
      <c r="Z98" s="410"/>
      <c r="AA98" s="410"/>
      <c r="AB98" s="410"/>
      <c r="AC98" s="410"/>
      <c r="AD98" s="410"/>
      <c r="AE98" s="411"/>
      <c r="AF98" s="167"/>
      <c r="AG98" s="409" t="s">
        <v>855</v>
      </c>
      <c r="AH98" s="410"/>
      <c r="AI98" s="410"/>
      <c r="AJ98" s="410"/>
      <c r="AK98" s="410"/>
      <c r="AL98" s="410"/>
      <c r="AM98" s="410"/>
      <c r="AN98" s="410"/>
      <c r="AO98" s="411"/>
      <c r="AP98" s="167"/>
      <c r="AQ98" s="167"/>
      <c r="AR98" s="167"/>
      <c r="AS98" s="167"/>
      <c r="AT98" s="153"/>
      <c r="AU98" s="153"/>
      <c r="AV98" s="153"/>
    </row>
    <row r="99" spans="1:48" ht="14.45" customHeight="1">
      <c r="A99" s="82" t="s">
        <v>209</v>
      </c>
      <c r="B99" s="82" t="s">
        <v>183</v>
      </c>
      <c r="C99">
        <f t="shared" si="14"/>
        <v>0.2</v>
      </c>
      <c r="M99"/>
      <c r="O99" s="422"/>
      <c r="P99" s="142" t="str">
        <f t="shared" si="15"/>
        <v>Conversie</v>
      </c>
      <c r="Q99" s="154">
        <f t="shared" si="15"/>
        <v>0.2</v>
      </c>
      <c r="R99" s="155">
        <f t="shared" si="16"/>
        <v>2</v>
      </c>
      <c r="S99" s="156">
        <f t="shared" si="17"/>
        <v>1.6</v>
      </c>
      <c r="T99" s="172" t="str">
        <f t="shared" si="18"/>
        <v>Laag</v>
      </c>
      <c r="U99" s="174"/>
      <c r="V99" s="152"/>
      <c r="W99" s="409" t="s">
        <v>855</v>
      </c>
      <c r="X99" s="410"/>
      <c r="Y99" s="410"/>
      <c r="Z99" s="410"/>
      <c r="AA99" s="410"/>
      <c r="AB99" s="410"/>
      <c r="AC99" s="410"/>
      <c r="AD99" s="410"/>
      <c r="AE99" s="411"/>
      <c r="AF99" s="167"/>
      <c r="AG99" s="409" t="s">
        <v>855</v>
      </c>
      <c r="AH99" s="410"/>
      <c r="AI99" s="410"/>
      <c r="AJ99" s="410"/>
      <c r="AK99" s="410"/>
      <c r="AL99" s="410"/>
      <c r="AM99" s="410"/>
      <c r="AN99" s="410"/>
      <c r="AO99" s="411"/>
      <c r="AP99" s="167"/>
      <c r="AQ99" s="167"/>
      <c r="AR99" s="167"/>
      <c r="AS99" s="167"/>
      <c r="AT99" s="153"/>
      <c r="AU99" s="153"/>
      <c r="AV99" s="153"/>
    </row>
    <row r="100" spans="1:48" ht="15" customHeight="1">
      <c r="A100" s="82" t="s">
        <v>209</v>
      </c>
      <c r="B100" s="82" t="s">
        <v>169</v>
      </c>
      <c r="C100">
        <f t="shared" si="14"/>
        <v>0.2</v>
      </c>
      <c r="M100"/>
      <c r="O100" s="422"/>
      <c r="P100" s="142" t="str">
        <f t="shared" si="15"/>
        <v>Maskering</v>
      </c>
      <c r="Q100" s="154">
        <f t="shared" si="15"/>
        <v>0.2</v>
      </c>
      <c r="R100" s="155">
        <f t="shared" si="16"/>
        <v>3</v>
      </c>
      <c r="S100" s="156">
        <f t="shared" si="17"/>
        <v>2.4000000000000004</v>
      </c>
      <c r="T100" s="172" t="str">
        <f t="shared" si="18"/>
        <v>Laag</v>
      </c>
      <c r="U100" s="174"/>
      <c r="V100" s="152"/>
      <c r="W100" s="409" t="s">
        <v>855</v>
      </c>
      <c r="X100" s="410"/>
      <c r="Y100" s="410"/>
      <c r="Z100" s="410"/>
      <c r="AA100" s="410"/>
      <c r="AB100" s="410"/>
      <c r="AC100" s="410"/>
      <c r="AD100" s="410"/>
      <c r="AE100" s="411"/>
      <c r="AF100" s="153"/>
      <c r="AG100" s="409" t="s">
        <v>855</v>
      </c>
      <c r="AH100" s="410"/>
      <c r="AI100" s="410"/>
      <c r="AJ100" s="410"/>
      <c r="AK100" s="410"/>
      <c r="AL100" s="410"/>
      <c r="AM100" s="410"/>
      <c r="AN100" s="410"/>
      <c r="AO100" s="411"/>
      <c r="AP100" s="153"/>
      <c r="AQ100" s="153"/>
      <c r="AR100" s="153"/>
      <c r="AS100" s="153"/>
      <c r="AT100" s="153"/>
      <c r="AU100" s="153"/>
      <c r="AV100" s="153"/>
    </row>
    <row r="101" spans="1:48" ht="14.45" customHeight="1">
      <c r="A101" s="82" t="s">
        <v>155</v>
      </c>
      <c r="B101" s="82" t="s">
        <v>97</v>
      </c>
      <c r="C101">
        <f t="shared" si="14"/>
        <v>0.2</v>
      </c>
      <c r="M101"/>
      <c r="O101" s="422"/>
      <c r="P101" s="142" t="str">
        <f t="shared" si="15"/>
        <v>Metagegevensbeheer</v>
      </c>
      <c r="Q101" s="154">
        <f t="shared" si="15"/>
        <v>0.2</v>
      </c>
      <c r="R101" s="155">
        <f t="shared" si="16"/>
        <v>6</v>
      </c>
      <c r="S101" s="156">
        <f t="shared" si="17"/>
        <v>4.8000000000000007</v>
      </c>
      <c r="T101" s="172" t="str">
        <f t="shared" si="18"/>
        <v>Middel</v>
      </c>
      <c r="U101" s="174"/>
      <c r="V101" s="152"/>
      <c r="W101" s="409" t="s">
        <v>855</v>
      </c>
      <c r="X101" s="410"/>
      <c r="Y101" s="410"/>
      <c r="Z101" s="410"/>
      <c r="AA101" s="410"/>
      <c r="AB101" s="410"/>
      <c r="AC101" s="410"/>
      <c r="AD101" s="410"/>
      <c r="AE101" s="411"/>
      <c r="AF101" s="153"/>
      <c r="AG101" s="409" t="s">
        <v>855</v>
      </c>
      <c r="AH101" s="410"/>
      <c r="AI101" s="410"/>
      <c r="AJ101" s="410"/>
      <c r="AK101" s="410"/>
      <c r="AL101" s="410"/>
      <c r="AM101" s="410"/>
      <c r="AN101" s="410"/>
      <c r="AO101" s="411"/>
      <c r="AP101" s="153"/>
      <c r="AQ101" s="153"/>
      <c r="AR101" s="153"/>
      <c r="AS101" s="153"/>
      <c r="AT101" s="153"/>
      <c r="AU101" s="153"/>
      <c r="AV101" s="153"/>
    </row>
    <row r="102" spans="1:48" ht="14.45" customHeight="1">
      <c r="A102" s="82" t="s">
        <v>155</v>
      </c>
      <c r="B102" s="82" t="s">
        <v>133</v>
      </c>
      <c r="C102">
        <f t="shared" si="14"/>
        <v>0.2</v>
      </c>
      <c r="M102"/>
      <c r="O102" s="422"/>
      <c r="P102" s="142" t="str">
        <f t="shared" si="15"/>
        <v>Opname</v>
      </c>
      <c r="Q102" s="154">
        <f t="shared" si="15"/>
        <v>0.2</v>
      </c>
      <c r="R102" s="155">
        <f t="shared" si="16"/>
        <v>5</v>
      </c>
      <c r="S102" s="156">
        <f t="shared" si="17"/>
        <v>4</v>
      </c>
      <c r="T102" s="172" t="str">
        <f t="shared" si="18"/>
        <v>Middel</v>
      </c>
      <c r="U102" s="174"/>
      <c r="V102" s="152"/>
      <c r="W102" s="409" t="s">
        <v>855</v>
      </c>
      <c r="X102" s="410"/>
      <c r="Y102" s="410"/>
      <c r="Z102" s="410"/>
      <c r="AA102" s="410"/>
      <c r="AB102" s="410"/>
      <c r="AC102" s="410"/>
      <c r="AD102" s="410"/>
      <c r="AE102" s="411"/>
      <c r="AF102" s="153"/>
      <c r="AG102" s="409" t="s">
        <v>855</v>
      </c>
      <c r="AH102" s="410"/>
      <c r="AI102" s="410"/>
      <c r="AJ102" s="410"/>
      <c r="AK102" s="410"/>
      <c r="AL102" s="410"/>
      <c r="AM102" s="410"/>
      <c r="AN102" s="410"/>
      <c r="AO102" s="411"/>
      <c r="AP102" s="163"/>
      <c r="AQ102" s="163"/>
      <c r="AR102" s="153"/>
      <c r="AS102" s="153"/>
      <c r="AT102" s="153"/>
      <c r="AU102" s="153"/>
      <c r="AV102" s="153"/>
    </row>
    <row r="103" spans="1:48" ht="14.45" customHeight="1">
      <c r="A103" s="82" t="s">
        <v>155</v>
      </c>
      <c r="B103" s="82" t="s">
        <v>137</v>
      </c>
      <c r="C103">
        <f t="shared" si="14"/>
        <v>0.2</v>
      </c>
      <c r="O103" s="422"/>
      <c r="P103" s="142" t="str">
        <f t="shared" si="15"/>
        <v>Opslag</v>
      </c>
      <c r="Q103" s="154">
        <f t="shared" si="15"/>
        <v>0.2</v>
      </c>
      <c r="R103" s="155">
        <f t="shared" si="16"/>
        <v>6</v>
      </c>
      <c r="S103" s="156">
        <f t="shared" si="17"/>
        <v>4.8000000000000007</v>
      </c>
      <c r="T103" s="172" t="str">
        <f t="shared" si="18"/>
        <v>Middel</v>
      </c>
      <c r="U103" s="174"/>
      <c r="V103" s="152"/>
      <c r="W103" s="409" t="s">
        <v>855</v>
      </c>
      <c r="X103" s="410"/>
      <c r="Y103" s="410"/>
      <c r="Z103" s="410"/>
      <c r="AA103" s="410"/>
      <c r="AB103" s="410"/>
      <c r="AC103" s="410"/>
      <c r="AD103" s="410"/>
      <c r="AE103" s="411"/>
      <c r="AF103" s="153"/>
      <c r="AG103" s="409" t="s">
        <v>855</v>
      </c>
      <c r="AH103" s="410"/>
      <c r="AI103" s="410"/>
      <c r="AJ103" s="410"/>
      <c r="AK103" s="410"/>
      <c r="AL103" s="410"/>
      <c r="AM103" s="410"/>
      <c r="AN103" s="410"/>
      <c r="AO103" s="411"/>
      <c r="AP103" s="163"/>
      <c r="AQ103" s="163"/>
      <c r="AR103" s="153"/>
      <c r="AS103" s="153"/>
      <c r="AT103" s="153"/>
      <c r="AU103" s="153"/>
      <c r="AV103" s="153"/>
    </row>
    <row r="104" spans="1:48" ht="14.45" customHeight="1">
      <c r="A104" s="82" t="s">
        <v>155</v>
      </c>
      <c r="B104" s="82" t="s">
        <v>169</v>
      </c>
      <c r="C104">
        <f t="shared" si="14"/>
        <v>0.2</v>
      </c>
      <c r="O104" s="422"/>
      <c r="P104" s="142" t="str">
        <f t="shared" si="15"/>
        <v>Publicatie</v>
      </c>
      <c r="Q104" s="154">
        <f t="shared" si="15"/>
        <v>0.2</v>
      </c>
      <c r="R104" s="155">
        <f t="shared" si="16"/>
        <v>4</v>
      </c>
      <c r="S104" s="156">
        <f t="shared" si="17"/>
        <v>3.2</v>
      </c>
      <c r="T104" s="172" t="str">
        <f t="shared" si="18"/>
        <v>Middel</v>
      </c>
      <c r="U104" s="174"/>
      <c r="V104" s="152"/>
      <c r="W104" s="409" t="s">
        <v>855</v>
      </c>
      <c r="X104" s="410"/>
      <c r="Y104" s="410"/>
      <c r="Z104" s="410"/>
      <c r="AA104" s="410"/>
      <c r="AB104" s="410"/>
      <c r="AC104" s="410"/>
      <c r="AD104" s="410"/>
      <c r="AE104" s="411"/>
      <c r="AF104" s="153"/>
      <c r="AG104" s="409" t="s">
        <v>855</v>
      </c>
      <c r="AH104" s="410"/>
      <c r="AI104" s="410"/>
      <c r="AJ104" s="410"/>
      <c r="AK104" s="410"/>
      <c r="AL104" s="410"/>
      <c r="AM104" s="410"/>
      <c r="AN104" s="410"/>
      <c r="AO104" s="411"/>
      <c r="AP104" s="163"/>
      <c r="AQ104" s="163"/>
      <c r="AR104" s="153"/>
      <c r="AS104" s="153"/>
      <c r="AT104" s="153"/>
      <c r="AU104" s="153"/>
      <c r="AV104" s="153"/>
    </row>
    <row r="105" spans="1:48" ht="23.1" customHeight="1">
      <c r="A105" s="82" t="s">
        <v>155</v>
      </c>
      <c r="B105" s="82" t="s">
        <v>176</v>
      </c>
      <c r="C105">
        <f t="shared" si="14"/>
        <v>0.2</v>
      </c>
      <c r="O105" s="422"/>
      <c r="P105" s="142" t="str">
        <f t="shared" si="15"/>
        <v>Representatie</v>
      </c>
      <c r="Q105" s="154">
        <f t="shared" si="15"/>
        <v>0.2</v>
      </c>
      <c r="R105" s="155">
        <f t="shared" si="16"/>
        <v>2</v>
      </c>
      <c r="S105" s="156">
        <f t="shared" si="17"/>
        <v>1.6</v>
      </c>
      <c r="T105" s="172" t="str">
        <f t="shared" si="18"/>
        <v>Laag</v>
      </c>
      <c r="U105" s="174"/>
      <c r="V105" s="152"/>
      <c r="W105" s="409"/>
      <c r="X105" s="410"/>
      <c r="Y105" s="410"/>
      <c r="Z105" s="410"/>
      <c r="AA105" s="410"/>
      <c r="AB105" s="410"/>
      <c r="AC105" s="410"/>
      <c r="AD105" s="410"/>
      <c r="AE105" s="411"/>
      <c r="AF105" s="153"/>
      <c r="AG105" s="435"/>
      <c r="AH105" s="436"/>
      <c r="AI105" s="436"/>
      <c r="AJ105" s="436"/>
      <c r="AK105" s="436"/>
      <c r="AL105" s="436"/>
      <c r="AM105" s="436"/>
      <c r="AN105" s="436"/>
      <c r="AO105" s="437"/>
      <c r="AP105" s="163"/>
      <c r="AQ105" s="163"/>
      <c r="AR105" s="153"/>
      <c r="AS105" s="153"/>
      <c r="AT105" s="153"/>
      <c r="AU105" s="153"/>
      <c r="AV105" s="153"/>
    </row>
    <row r="106" spans="1:48" ht="14.45" customHeight="1">
      <c r="A106" s="82" t="s">
        <v>155</v>
      </c>
      <c r="B106" s="82" t="s">
        <v>183</v>
      </c>
      <c r="C106">
        <f t="shared" si="14"/>
        <v>0.2</v>
      </c>
      <c r="O106" s="422"/>
      <c r="P106" s="142" t="str">
        <f t="shared" si="15"/>
        <v>Toegangsbeheer</v>
      </c>
      <c r="Q106" s="154">
        <f t="shared" si="15"/>
        <v>0.2</v>
      </c>
      <c r="R106" s="155">
        <f t="shared" si="16"/>
        <v>7</v>
      </c>
      <c r="S106" s="156">
        <f t="shared" si="17"/>
        <v>5.6000000000000005</v>
      </c>
      <c r="T106" s="172" t="str">
        <f t="shared" si="18"/>
        <v>Hoog</v>
      </c>
      <c r="U106" s="174"/>
      <c r="V106" s="152"/>
      <c r="W106" s="409"/>
      <c r="X106" s="410"/>
      <c r="Y106" s="410"/>
      <c r="Z106" s="410"/>
      <c r="AA106" s="410"/>
      <c r="AB106" s="410"/>
      <c r="AC106" s="410"/>
      <c r="AD106" s="410"/>
      <c r="AE106" s="411"/>
      <c r="AF106" s="153"/>
      <c r="AG106" s="438"/>
      <c r="AH106" s="438"/>
      <c r="AI106" s="438"/>
      <c r="AJ106" s="438"/>
      <c r="AK106" s="438"/>
      <c r="AL106" s="438"/>
      <c r="AM106" s="438"/>
      <c r="AN106" s="438"/>
      <c r="AO106" s="438"/>
      <c r="AP106" s="163"/>
      <c r="AQ106" s="163"/>
      <c r="AR106" s="153"/>
      <c r="AS106" s="153"/>
      <c r="AT106" s="153"/>
      <c r="AU106" s="153"/>
      <c r="AV106" s="153"/>
    </row>
    <row r="107" spans="1:48" ht="14.45" customHeight="1">
      <c r="A107" s="82" t="s">
        <v>288</v>
      </c>
      <c r="B107" s="82" t="s">
        <v>214</v>
      </c>
      <c r="C107">
        <f t="shared" si="14"/>
        <v>0.2</v>
      </c>
      <c r="O107" s="422"/>
      <c r="P107" s="142" t="str">
        <f t="shared" si="15"/>
        <v>Uitwisseling</v>
      </c>
      <c r="Q107" s="154">
        <f t="shared" si="15"/>
        <v>0.2</v>
      </c>
      <c r="R107" s="155">
        <f t="shared" si="16"/>
        <v>6</v>
      </c>
      <c r="S107" s="156">
        <f t="shared" si="17"/>
        <v>4.8000000000000007</v>
      </c>
      <c r="T107" s="172" t="str">
        <f t="shared" si="18"/>
        <v>Middel</v>
      </c>
      <c r="U107" s="174"/>
      <c r="V107" s="153"/>
      <c r="W107" s="409"/>
      <c r="X107" s="410"/>
      <c r="Y107" s="410"/>
      <c r="Z107" s="410"/>
      <c r="AA107" s="410"/>
      <c r="AB107" s="410"/>
      <c r="AC107" s="410"/>
      <c r="AD107" s="410"/>
      <c r="AE107" s="411"/>
      <c r="AF107" s="153"/>
      <c r="AG107" s="438"/>
      <c r="AH107" s="438"/>
      <c r="AI107" s="438"/>
      <c r="AJ107" s="438"/>
      <c r="AK107" s="438"/>
      <c r="AL107" s="438"/>
      <c r="AM107" s="438"/>
      <c r="AN107" s="438"/>
      <c r="AO107" s="438"/>
      <c r="AP107" s="163"/>
      <c r="AQ107" s="163"/>
      <c r="AR107" s="153"/>
      <c r="AS107" s="153"/>
      <c r="AT107" s="153"/>
      <c r="AU107" s="153"/>
      <c r="AV107" s="153"/>
    </row>
    <row r="108" spans="1:48" ht="14.45" customHeight="1">
      <c r="A108" s="82" t="s">
        <v>288</v>
      </c>
      <c r="B108" s="82" t="s">
        <v>316</v>
      </c>
      <c r="C108">
        <f t="shared" si="14"/>
        <v>0.2</v>
      </c>
      <c r="O108" s="422"/>
      <c r="P108" s="142" t="str">
        <f t="shared" si="15"/>
        <v>Validatie</v>
      </c>
      <c r="Q108" s="154">
        <f t="shared" si="15"/>
        <v>0.2</v>
      </c>
      <c r="R108" s="155">
        <f t="shared" si="16"/>
        <v>7</v>
      </c>
      <c r="S108" s="156">
        <f t="shared" si="17"/>
        <v>5.6000000000000005</v>
      </c>
      <c r="T108" s="172" t="str">
        <f t="shared" si="18"/>
        <v>Hoog</v>
      </c>
      <c r="U108" s="174"/>
      <c r="V108" s="153"/>
      <c r="W108" s="409"/>
      <c r="X108" s="410"/>
      <c r="Y108" s="410"/>
      <c r="Z108" s="410"/>
      <c r="AA108" s="410"/>
      <c r="AB108" s="410"/>
      <c r="AC108" s="410"/>
      <c r="AD108" s="410"/>
      <c r="AE108" s="411"/>
      <c r="AF108" s="153"/>
      <c r="AG108" s="435"/>
      <c r="AH108" s="436"/>
      <c r="AI108" s="436"/>
      <c r="AJ108" s="436"/>
      <c r="AK108" s="436"/>
      <c r="AL108" s="436"/>
      <c r="AM108" s="436"/>
      <c r="AN108" s="436"/>
      <c r="AO108" s="437"/>
      <c r="AP108" s="163"/>
      <c r="AQ108" s="163"/>
      <c r="AR108" s="153"/>
      <c r="AS108" s="153"/>
      <c r="AT108" s="153"/>
      <c r="AU108" s="153"/>
      <c r="AV108" s="153"/>
    </row>
    <row r="109" spans="1:48" ht="14.45" customHeight="1">
      <c r="A109" s="82" t="s">
        <v>288</v>
      </c>
      <c r="B109" s="82" t="s">
        <v>97</v>
      </c>
      <c r="C109">
        <f t="shared" si="14"/>
        <v>0.2</v>
      </c>
      <c r="O109" s="422"/>
      <c r="P109" s="142" t="str">
        <f t="shared" si="15"/>
        <v>Verantwoording</v>
      </c>
      <c r="Q109" s="154">
        <f t="shared" si="15"/>
        <v>0.2</v>
      </c>
      <c r="R109" s="155">
        <f t="shared" si="16"/>
        <v>7</v>
      </c>
      <c r="S109" s="156">
        <f t="shared" si="17"/>
        <v>5.6000000000000005</v>
      </c>
      <c r="T109" s="172" t="str">
        <f t="shared" si="18"/>
        <v>Hoog</v>
      </c>
      <c r="U109" s="174"/>
      <c r="V109" s="153"/>
      <c r="W109" s="409"/>
      <c r="X109" s="410"/>
      <c r="Y109" s="410"/>
      <c r="Z109" s="410"/>
      <c r="AA109" s="410"/>
      <c r="AB109" s="410"/>
      <c r="AC109" s="410"/>
      <c r="AD109" s="410"/>
      <c r="AE109" s="411"/>
      <c r="AF109" s="153"/>
      <c r="AG109" s="435"/>
      <c r="AH109" s="436"/>
      <c r="AI109" s="436"/>
      <c r="AJ109" s="436"/>
      <c r="AK109" s="436"/>
      <c r="AL109" s="436"/>
      <c r="AM109" s="436"/>
      <c r="AN109" s="436"/>
      <c r="AO109" s="437"/>
      <c r="AP109" s="163"/>
      <c r="AQ109" s="163"/>
      <c r="AR109" s="153"/>
      <c r="AS109" s="153"/>
      <c r="AT109" s="153"/>
      <c r="AU109" s="153"/>
      <c r="AV109" s="153"/>
    </row>
    <row r="110" spans="1:48" ht="14.45" customHeight="1">
      <c r="A110" s="82" t="s">
        <v>288</v>
      </c>
      <c r="B110" s="82" t="s">
        <v>296</v>
      </c>
      <c r="C110">
        <f t="shared" si="14"/>
        <v>0.2</v>
      </c>
      <c r="O110" s="422"/>
      <c r="P110" s="142" t="str">
        <f t="shared" si="15"/>
        <v>Vernietiging</v>
      </c>
      <c r="Q110" s="154">
        <f t="shared" si="15"/>
        <v>0.2</v>
      </c>
      <c r="R110" s="155">
        <f t="shared" si="16"/>
        <v>7</v>
      </c>
      <c r="S110" s="156">
        <f t="shared" si="17"/>
        <v>5.6000000000000005</v>
      </c>
      <c r="T110" s="172" t="str">
        <f t="shared" si="18"/>
        <v>Hoog</v>
      </c>
      <c r="U110" s="174"/>
      <c r="V110" s="153"/>
      <c r="W110" s="435"/>
      <c r="X110" s="436"/>
      <c r="Y110" s="436"/>
      <c r="Z110" s="436"/>
      <c r="AA110" s="436"/>
      <c r="AB110" s="436"/>
      <c r="AC110" s="436"/>
      <c r="AD110" s="436"/>
      <c r="AE110" s="437"/>
      <c r="AF110" s="153"/>
      <c r="AG110" s="435"/>
      <c r="AH110" s="436"/>
      <c r="AI110" s="436"/>
      <c r="AJ110" s="436"/>
      <c r="AK110" s="436"/>
      <c r="AL110" s="436"/>
      <c r="AM110" s="436"/>
      <c r="AN110" s="436"/>
      <c r="AO110" s="437"/>
      <c r="AP110" s="163"/>
      <c r="AQ110" s="163"/>
      <c r="AR110" s="153"/>
      <c r="AS110" s="153"/>
      <c r="AT110" s="153"/>
      <c r="AU110" s="153"/>
      <c r="AV110" s="153"/>
    </row>
    <row r="111" spans="1:48" ht="14.45" customHeight="1">
      <c r="A111" s="82" t="s">
        <v>288</v>
      </c>
      <c r="B111" s="83" t="s">
        <v>302</v>
      </c>
      <c r="C111">
        <f t="shared" si="14"/>
        <v>0.2</v>
      </c>
      <c r="O111" s="422"/>
      <c r="P111" s="142" t="str">
        <f t="shared" si="15"/>
        <v>Zoeken</v>
      </c>
      <c r="Q111" s="154">
        <f t="shared" si="15"/>
        <v>0.2</v>
      </c>
      <c r="R111" s="155">
        <f t="shared" si="16"/>
        <v>4</v>
      </c>
      <c r="S111" s="156">
        <f t="shared" si="17"/>
        <v>3.2</v>
      </c>
      <c r="T111" s="172" t="str">
        <f t="shared" si="18"/>
        <v>Middel</v>
      </c>
      <c r="U111" s="174"/>
      <c r="V111" s="153"/>
      <c r="W111" s="435"/>
      <c r="X111" s="436"/>
      <c r="Y111" s="436"/>
      <c r="Z111" s="436"/>
      <c r="AA111" s="436"/>
      <c r="AB111" s="436"/>
      <c r="AC111" s="436"/>
      <c r="AD111" s="436"/>
      <c r="AE111" s="437"/>
      <c r="AF111" s="153"/>
      <c r="AG111" s="435"/>
      <c r="AH111" s="436"/>
      <c r="AI111" s="436"/>
      <c r="AJ111" s="436"/>
      <c r="AK111" s="436"/>
      <c r="AL111" s="436"/>
      <c r="AM111" s="436"/>
      <c r="AN111" s="436"/>
      <c r="AO111" s="437"/>
      <c r="AP111" s="163"/>
      <c r="AQ111" s="163"/>
      <c r="AR111" s="153"/>
      <c r="AS111" s="153"/>
      <c r="AT111" s="153"/>
      <c r="AU111" s="153"/>
      <c r="AV111" s="153"/>
    </row>
    <row r="112" spans="1:48" ht="14.45" customHeight="1" thickBot="1">
      <c r="A112" s="82" t="s">
        <v>288</v>
      </c>
      <c r="B112" s="82" t="s">
        <v>133</v>
      </c>
      <c r="C112">
        <f t="shared" si="14"/>
        <v>0.2</v>
      </c>
      <c r="O112" s="422"/>
      <c r="P112" s="152"/>
      <c r="Q112" s="153"/>
      <c r="R112" s="153"/>
      <c r="S112" s="153"/>
      <c r="T112" s="153"/>
      <c r="U112" s="153"/>
      <c r="V112" s="153"/>
      <c r="W112" s="153"/>
      <c r="X112" s="153"/>
      <c r="Y112" s="153"/>
      <c r="Z112" s="153"/>
      <c r="AA112" s="153"/>
      <c r="AB112" s="153"/>
      <c r="AC112" s="153"/>
      <c r="AD112" s="153"/>
      <c r="AE112" s="153"/>
      <c r="AF112" s="153"/>
      <c r="AG112" s="153"/>
      <c r="AH112" s="153"/>
      <c r="AI112" s="153"/>
      <c r="AJ112" s="153"/>
      <c r="AK112" s="153"/>
      <c r="AL112" s="153"/>
      <c r="AM112" s="153"/>
      <c r="AN112" s="153"/>
      <c r="AO112" s="153"/>
      <c r="AP112" s="153"/>
      <c r="AQ112" s="153"/>
      <c r="AR112" s="153"/>
      <c r="AS112" s="153"/>
      <c r="AT112" s="153"/>
      <c r="AU112" s="153"/>
      <c r="AV112" s="153"/>
    </row>
    <row r="113" spans="1:48" ht="14.45" customHeight="1">
      <c r="A113" s="82" t="s">
        <v>288</v>
      </c>
      <c r="B113" s="82" t="s">
        <v>263</v>
      </c>
      <c r="C113">
        <f t="shared" si="14"/>
        <v>0.2</v>
      </c>
      <c r="O113" s="422"/>
      <c r="P113" s="423" t="s">
        <v>934</v>
      </c>
      <c r="Q113" s="424"/>
      <c r="R113" s="424"/>
      <c r="S113" s="424"/>
      <c r="T113" s="424"/>
      <c r="U113" s="425"/>
      <c r="V113" s="153"/>
      <c r="W113" s="423" t="s">
        <v>853</v>
      </c>
      <c r="X113" s="424"/>
      <c r="Y113" s="424"/>
      <c r="Z113" s="424"/>
      <c r="AA113" s="424"/>
      <c r="AB113" s="424"/>
      <c r="AC113" s="424"/>
      <c r="AD113" s="424"/>
      <c r="AE113" s="425"/>
      <c r="AF113" s="153"/>
      <c r="AG113" s="423" t="s">
        <v>854</v>
      </c>
      <c r="AH113" s="424"/>
      <c r="AI113" s="424"/>
      <c r="AJ113" s="424"/>
      <c r="AK113" s="424"/>
      <c r="AL113" s="424"/>
      <c r="AM113" s="424"/>
      <c r="AN113" s="424"/>
      <c r="AO113" s="425"/>
      <c r="AP113" s="153"/>
      <c r="AQ113" s="153"/>
      <c r="AR113" s="153"/>
      <c r="AS113" s="153"/>
      <c r="AT113" s="153"/>
      <c r="AU113" s="153"/>
      <c r="AV113" s="153"/>
    </row>
    <row r="114" spans="1:48" ht="14.45" customHeight="1">
      <c r="A114" s="82" t="s">
        <v>288</v>
      </c>
      <c r="B114" s="82" t="s">
        <v>137</v>
      </c>
      <c r="C114">
        <f t="shared" si="14"/>
        <v>0.2</v>
      </c>
      <c r="O114" s="422"/>
      <c r="P114" s="426"/>
      <c r="Q114" s="427"/>
      <c r="R114" s="427"/>
      <c r="S114" s="427"/>
      <c r="T114" s="427"/>
      <c r="U114" s="428"/>
      <c r="V114" s="153"/>
      <c r="W114" s="426"/>
      <c r="X114" s="427"/>
      <c r="Y114" s="427"/>
      <c r="Z114" s="427"/>
      <c r="AA114" s="427"/>
      <c r="AB114" s="427"/>
      <c r="AC114" s="427"/>
      <c r="AD114" s="427"/>
      <c r="AE114" s="428"/>
      <c r="AF114" s="153"/>
      <c r="AG114" s="426"/>
      <c r="AH114" s="427"/>
      <c r="AI114" s="427"/>
      <c r="AJ114" s="427"/>
      <c r="AK114" s="427"/>
      <c r="AL114" s="427"/>
      <c r="AM114" s="427"/>
      <c r="AN114" s="427"/>
      <c r="AO114" s="428"/>
      <c r="AP114" s="153"/>
      <c r="AQ114" s="153"/>
      <c r="AR114" s="153"/>
      <c r="AS114" s="153"/>
      <c r="AT114" s="153"/>
      <c r="AU114" s="153"/>
      <c r="AV114" s="153"/>
    </row>
    <row r="115" spans="1:48" ht="14.45" customHeight="1">
      <c r="A115" s="82" t="s">
        <v>288</v>
      </c>
      <c r="B115" s="82" t="s">
        <v>183</v>
      </c>
      <c r="C115">
        <f t="shared" si="14"/>
        <v>0.2</v>
      </c>
      <c r="O115" s="422"/>
      <c r="P115" s="426"/>
      <c r="Q115" s="427"/>
      <c r="R115" s="427"/>
      <c r="S115" s="427"/>
      <c r="T115" s="427"/>
      <c r="U115" s="428"/>
      <c r="V115" s="153"/>
      <c r="W115" s="426"/>
      <c r="X115" s="427"/>
      <c r="Y115" s="427"/>
      <c r="Z115" s="427"/>
      <c r="AA115" s="427"/>
      <c r="AB115" s="427"/>
      <c r="AC115" s="427"/>
      <c r="AD115" s="427"/>
      <c r="AE115" s="428"/>
      <c r="AF115" s="153"/>
      <c r="AG115" s="426"/>
      <c r="AH115" s="427"/>
      <c r="AI115" s="427"/>
      <c r="AJ115" s="427"/>
      <c r="AK115" s="427"/>
      <c r="AL115" s="427"/>
      <c r="AM115" s="427"/>
      <c r="AN115" s="427"/>
      <c r="AO115" s="428"/>
      <c r="AP115" s="153"/>
      <c r="AQ115" s="153"/>
      <c r="AR115" s="153"/>
      <c r="AS115" s="153"/>
      <c r="AT115" s="153"/>
      <c r="AU115" s="153"/>
      <c r="AV115" s="153"/>
    </row>
    <row r="116" spans="1:48" ht="14.1" customHeight="1" thickBot="1">
      <c r="O116" s="422"/>
      <c r="P116" s="429"/>
      <c r="Q116" s="430"/>
      <c r="R116" s="430"/>
      <c r="S116" s="430"/>
      <c r="T116" s="430"/>
      <c r="U116" s="431"/>
      <c r="V116" s="153"/>
      <c r="W116" s="429"/>
      <c r="X116" s="430"/>
      <c r="Y116" s="430"/>
      <c r="Z116" s="430"/>
      <c r="AA116" s="430"/>
      <c r="AB116" s="430"/>
      <c r="AC116" s="430"/>
      <c r="AD116" s="430"/>
      <c r="AE116" s="431"/>
      <c r="AF116" s="153"/>
      <c r="AG116" s="429"/>
      <c r="AH116" s="430"/>
      <c r="AI116" s="430"/>
      <c r="AJ116" s="430"/>
      <c r="AK116" s="430"/>
      <c r="AL116" s="430"/>
      <c r="AM116" s="430"/>
      <c r="AN116" s="430"/>
      <c r="AO116" s="431"/>
      <c r="AP116" s="153"/>
      <c r="AQ116" s="153"/>
      <c r="AR116" s="153"/>
      <c r="AS116" s="153"/>
      <c r="AT116" s="153"/>
      <c r="AU116" s="153"/>
      <c r="AV116" s="153"/>
    </row>
    <row r="117" spans="1:48" ht="13.5" customHeight="1">
      <c r="A117" s="403" t="s">
        <v>769</v>
      </c>
      <c r="B117" s="403"/>
      <c r="C117" s="85"/>
      <c r="D117" s="85"/>
      <c r="E117" s="85"/>
      <c r="F117" s="85"/>
      <c r="G117" s="85"/>
      <c r="H117" s="85"/>
      <c r="I117" s="85"/>
      <c r="J117" s="85"/>
      <c r="K117" s="85"/>
      <c r="L117" s="85"/>
    </row>
    <row r="118" spans="1:48" ht="13.5" customHeight="1"/>
    <row r="119" spans="1:48" ht="28.5">
      <c r="A119" s="55" t="s">
        <v>770</v>
      </c>
      <c r="B119" s="55" t="s">
        <v>771</v>
      </c>
      <c r="C119" s="55" t="s">
        <v>79</v>
      </c>
      <c r="D119" s="55" t="s">
        <v>80</v>
      </c>
      <c r="E119" s="55" t="s">
        <v>81</v>
      </c>
      <c r="F119" s="55" t="s">
        <v>82</v>
      </c>
      <c r="H119" s="88" t="s">
        <v>811</v>
      </c>
      <c r="I119" s="88" t="s">
        <v>812</v>
      </c>
      <c r="J119" s="126" t="s">
        <v>939</v>
      </c>
    </row>
    <row r="120" spans="1:48" ht="14.45" customHeight="1">
      <c r="A120" s="93" t="s">
        <v>808</v>
      </c>
      <c r="B120">
        <f>IFERROR(AVERAGEIF($A$133:$A$244,A120,$F$133:$F$244),"")</f>
        <v>0.69333333333333347</v>
      </c>
      <c r="C120">
        <f>IF(B120&gt;0.25,B120,"")</f>
        <v>0.69333333333333347</v>
      </c>
      <c r="D120" t="str">
        <f>IF(AND(B120&gt;0.2,B120&lt;=0.25),B120,"")</f>
        <v/>
      </c>
      <c r="E120" t="str">
        <f>IF(AND(B120&gt;0.15,B120&lt;=0.2),B120,"")</f>
        <v/>
      </c>
      <c r="F120" t="str">
        <f>IF(B120&lt;=0.15,B120,"")</f>
        <v/>
      </c>
      <c r="H120" s="40" t="str" cm="1">
        <f t="array" ref="H120:I127">_xlfn.SORTBY(A120:B127,B120:B127,-1)</f>
        <v xml:space="preserve">Informatiebeheer </v>
      </c>
      <c r="I120" s="40">
        <v>0.74666666666666681</v>
      </c>
      <c r="J120" s="70">
        <f>I120</f>
        <v>0.74666666666666681</v>
      </c>
    </row>
    <row r="121" spans="1:48" ht="15">
      <c r="A121" s="93" t="s">
        <v>774</v>
      </c>
      <c r="B121">
        <f t="shared" ref="B121:B127" si="19">IFERROR(AVERAGEIF($A$133:$A$244,A121,$F$133:$F$244),"")</f>
        <v>0.7466666666666667</v>
      </c>
      <c r="C121">
        <f t="shared" ref="C121:C127" si="20">IF(B121&gt;0.25,B121,"")</f>
        <v>0.7466666666666667</v>
      </c>
      <c r="D121" t="str">
        <f t="shared" ref="D121:D127" si="21">IF(AND(B121&gt;0.2,B121&lt;=0.25),B121,"")</f>
        <v/>
      </c>
      <c r="E121" t="str">
        <f t="shared" ref="E121:E127" si="22">IF(AND(B121&gt;0.15,B121&lt;=0.2),B121,"")</f>
        <v/>
      </c>
      <c r="F121" t="str">
        <f t="shared" ref="F121:F127" si="23">IF(B121&lt;=0.15,B121,"")</f>
        <v/>
      </c>
      <c r="H121" s="40" t="str">
        <v xml:space="preserve">Privacy </v>
      </c>
      <c r="I121" s="40">
        <v>0.7466666666666667</v>
      </c>
      <c r="J121" s="70">
        <f t="shared" ref="J121:J127" si="24">I121</f>
        <v>0.7466666666666667</v>
      </c>
      <c r="Y121"/>
      <c r="Z121"/>
      <c r="AE121"/>
    </row>
    <row r="122" spans="1:48" ht="15">
      <c r="A122" s="93" t="s">
        <v>773</v>
      </c>
      <c r="B122">
        <f t="shared" si="19"/>
        <v>0.69333333333333347</v>
      </c>
      <c r="C122">
        <f t="shared" si="20"/>
        <v>0.69333333333333347</v>
      </c>
      <c r="D122" t="str">
        <f t="shared" si="21"/>
        <v/>
      </c>
      <c r="E122" t="str">
        <f t="shared" si="22"/>
        <v/>
      </c>
      <c r="F122" t="str">
        <f t="shared" si="23"/>
        <v/>
      </c>
      <c r="H122" s="40" t="str">
        <v xml:space="preserve">Datamanagement </v>
      </c>
      <c r="I122" s="40">
        <v>0.69333333333333347</v>
      </c>
      <c r="J122" s="70">
        <f t="shared" si="24"/>
        <v>0.69333333333333347</v>
      </c>
    </row>
    <row r="123" spans="1:48" ht="15">
      <c r="A123" s="93" t="s">
        <v>772</v>
      </c>
      <c r="B123">
        <f t="shared" si="19"/>
        <v>0.55999999999999994</v>
      </c>
      <c r="C123">
        <f t="shared" si="20"/>
        <v>0.55999999999999994</v>
      </c>
      <c r="D123" t="str">
        <f t="shared" si="21"/>
        <v/>
      </c>
      <c r="E123" t="str">
        <f t="shared" si="22"/>
        <v/>
      </c>
      <c r="F123" t="str">
        <f t="shared" si="23"/>
        <v/>
      </c>
      <c r="H123" s="40" t="str">
        <v xml:space="preserve">Informatiebeveiliging </v>
      </c>
      <c r="I123" s="40">
        <v>0.69333333333333347</v>
      </c>
      <c r="J123" s="70">
        <f t="shared" si="24"/>
        <v>0.69333333333333347</v>
      </c>
    </row>
    <row r="124" spans="1:48" ht="15">
      <c r="A124" s="123" t="s">
        <v>775</v>
      </c>
      <c r="B124">
        <f t="shared" si="19"/>
        <v>0.56000000000000005</v>
      </c>
      <c r="C124">
        <f t="shared" si="20"/>
        <v>0.56000000000000005</v>
      </c>
      <c r="D124" t="str">
        <f t="shared" si="21"/>
        <v/>
      </c>
      <c r="E124" t="str">
        <f t="shared" si="22"/>
        <v/>
      </c>
      <c r="F124" t="str">
        <f t="shared" si="23"/>
        <v/>
      </c>
      <c r="H124" s="40" t="str">
        <v xml:space="preserve">Functioneel beheer </v>
      </c>
      <c r="I124" s="40">
        <v>0.56000000000000005</v>
      </c>
      <c r="J124" s="70">
        <f t="shared" si="24"/>
        <v>0.56000000000000005</v>
      </c>
    </row>
    <row r="125" spans="1:48" ht="15">
      <c r="A125" s="123" t="s">
        <v>776</v>
      </c>
      <c r="B125">
        <f t="shared" si="19"/>
        <v>0.74666666666666681</v>
      </c>
      <c r="C125">
        <f t="shared" si="20"/>
        <v>0.74666666666666681</v>
      </c>
      <c r="D125" t="str">
        <f t="shared" si="21"/>
        <v/>
      </c>
      <c r="E125" t="str">
        <f t="shared" si="22"/>
        <v/>
      </c>
      <c r="F125" t="str">
        <f t="shared" si="23"/>
        <v/>
      </c>
      <c r="H125" s="40" t="str">
        <v xml:space="preserve">Woo </v>
      </c>
      <c r="I125" s="40">
        <v>0.56000000000000005</v>
      </c>
      <c r="J125" s="70">
        <f t="shared" si="24"/>
        <v>0.56000000000000005</v>
      </c>
    </row>
    <row r="126" spans="1:48" ht="15">
      <c r="A126" s="123" t="s">
        <v>777</v>
      </c>
      <c r="B126">
        <f t="shared" si="19"/>
        <v>0.56000000000000005</v>
      </c>
      <c r="C126">
        <f t="shared" si="20"/>
        <v>0.56000000000000005</v>
      </c>
      <c r="D126" t="str">
        <f t="shared" si="21"/>
        <v/>
      </c>
      <c r="E126" t="str">
        <f t="shared" si="22"/>
        <v/>
      </c>
      <c r="F126" t="str">
        <f t="shared" si="23"/>
        <v/>
      </c>
      <c r="H126" s="40" t="str">
        <v>Cybersecurity</v>
      </c>
      <c r="I126" s="40">
        <v>0.55999999999999994</v>
      </c>
      <c r="J126" s="70">
        <f t="shared" si="24"/>
        <v>0.55999999999999994</v>
      </c>
    </row>
    <row r="127" spans="1:48" ht="28.5">
      <c r="A127" s="124" t="s">
        <v>778</v>
      </c>
      <c r="B127">
        <f t="shared" si="19"/>
        <v>0.48571428571428577</v>
      </c>
      <c r="C127">
        <f t="shared" si="20"/>
        <v>0.48571428571428577</v>
      </c>
      <c r="D127" t="str">
        <f t="shared" si="21"/>
        <v/>
      </c>
      <c r="E127" t="str">
        <f t="shared" si="22"/>
        <v/>
      </c>
      <c r="F127" t="str">
        <f t="shared" si="23"/>
        <v/>
      </c>
      <c r="H127" s="40" t="str">
        <v xml:space="preserve">Governance
</v>
      </c>
      <c r="I127" s="40">
        <v>0.48571428571428577</v>
      </c>
      <c r="J127" s="70">
        <f t="shared" si="24"/>
        <v>0.48571428571428577</v>
      </c>
    </row>
    <row r="132" spans="1:8">
      <c r="A132" s="55" t="s">
        <v>770</v>
      </c>
      <c r="B132" s="55" t="s">
        <v>87</v>
      </c>
      <c r="C132" s="55" t="s">
        <v>760</v>
      </c>
      <c r="D132" s="55" t="s">
        <v>807</v>
      </c>
      <c r="E132" s="55" t="s">
        <v>809</v>
      </c>
      <c r="F132" s="55" t="s">
        <v>810</v>
      </c>
    </row>
    <row r="133" spans="1:8" ht="15">
      <c r="A133" s="93" t="s">
        <v>808</v>
      </c>
      <c r="B133" s="22" t="s">
        <v>93</v>
      </c>
      <c r="C133">
        <f>_xlfn.XLOOKUP(B133,$A$50:$A$64,$B$50:$B$64,"")</f>
        <v>0.2</v>
      </c>
      <c r="D133" t="str">
        <f>INDEX('5. Risico en impact'!$B$4:$J$18,MATCH(B133,'5. Risico en impact'!$A$4:$A$18,0),MATCH(A133,'5. Risico en impact'!$B$3:$J$3,0))</f>
        <v>H</v>
      </c>
      <c r="E133">
        <f>IF(D133="H",1,IF(D133="M",0.5,IF(D133="L",0.25,0)))</f>
        <v>1</v>
      </c>
      <c r="F133">
        <f>IFERROR((1-C133)*E133,0)</f>
        <v>0.8</v>
      </c>
    </row>
    <row r="134" spans="1:8" ht="15">
      <c r="A134" s="93" t="s">
        <v>808</v>
      </c>
      <c r="B134" s="22" t="s">
        <v>211</v>
      </c>
      <c r="C134">
        <f t="shared" ref="C134:C197" si="25">_xlfn.XLOOKUP(B134,$A$50:$A$64,$B$50:$B$64,"")</f>
        <v>0.2</v>
      </c>
      <c r="D134" t="str">
        <f>INDEX('5. Risico en impact'!$C$4:$J$18,MATCH(B134,'5. Risico en impact'!$A$4:$A$18,0),MATCH(A134,'5. Risico en impact'!$C$3:$J$3,0))</f>
        <v>M</v>
      </c>
      <c r="E134">
        <f t="shared" ref="E134:E197" si="26">IF(D134="H",1,IF(D134="M",0.5,IF(D134="L",0.25,0)))</f>
        <v>0.5</v>
      </c>
      <c r="F134">
        <f t="shared" ref="F134:F197" si="27">IFERROR((1-C134)*E134,0)</f>
        <v>0.4</v>
      </c>
    </row>
    <row r="135" spans="1:8" ht="15">
      <c r="A135" s="93" t="s">
        <v>808</v>
      </c>
      <c r="B135" s="22" t="s">
        <v>214</v>
      </c>
      <c r="C135">
        <f t="shared" si="25"/>
        <v>0.2</v>
      </c>
      <c r="D135" t="str">
        <f>INDEX('5. Risico en impact'!$C$4:$J$18,MATCH(B135,'5. Risico en impact'!$A$4:$A$18,0),MATCH(A135,'5. Risico en impact'!$C$3:$J$3,0))</f>
        <v>H</v>
      </c>
      <c r="E135">
        <f t="shared" si="26"/>
        <v>1</v>
      </c>
      <c r="F135">
        <f t="shared" si="27"/>
        <v>0.8</v>
      </c>
    </row>
    <row r="136" spans="1:8" ht="15">
      <c r="A136" s="93" t="s">
        <v>808</v>
      </c>
      <c r="B136" s="22" t="s">
        <v>316</v>
      </c>
      <c r="C136">
        <f t="shared" si="25"/>
        <v>0.2</v>
      </c>
      <c r="D136" t="str">
        <f>INDEX('5. Risico en impact'!$C$4:$J$18,MATCH(B136,'5. Risico en impact'!$A$4:$A$18,0),MATCH(A136,'5. Risico en impact'!$C$3:$J$3,0))</f>
        <v>M</v>
      </c>
      <c r="E136">
        <f t="shared" si="26"/>
        <v>0.5</v>
      </c>
      <c r="F136">
        <f t="shared" si="27"/>
        <v>0.4</v>
      </c>
    </row>
    <row r="137" spans="1:8" ht="15">
      <c r="A137" s="93" t="s">
        <v>808</v>
      </c>
      <c r="B137" s="22" t="s">
        <v>97</v>
      </c>
      <c r="C137">
        <f t="shared" si="25"/>
        <v>0.2</v>
      </c>
      <c r="D137" t="str">
        <f>INDEX('5. Risico en impact'!$C$4:$J$18,MATCH(B137,'5. Risico en impact'!$A$4:$A$18,0),MATCH(A137,'5. Risico en impact'!$C$3:$J$3,0))</f>
        <v>H</v>
      </c>
      <c r="E137">
        <f t="shared" si="26"/>
        <v>1</v>
      </c>
      <c r="F137">
        <f t="shared" si="27"/>
        <v>0.8</v>
      </c>
    </row>
    <row r="138" spans="1:8" ht="15">
      <c r="A138" s="93" t="s">
        <v>808</v>
      </c>
      <c r="B138" s="22" t="s">
        <v>122</v>
      </c>
      <c r="C138">
        <f t="shared" si="25"/>
        <v>0.2</v>
      </c>
      <c r="D138" t="str">
        <f>INDEX('5. Risico en impact'!$C$4:$J$18,MATCH(B138,'5. Risico en impact'!$A$4:$A$18,0),MATCH(A138,'5. Risico en impact'!$C$3:$J$3,0))</f>
        <v>H</v>
      </c>
      <c r="E138">
        <f t="shared" si="26"/>
        <v>1</v>
      </c>
      <c r="F138">
        <f t="shared" si="27"/>
        <v>0.8</v>
      </c>
    </row>
    <row r="139" spans="1:8" ht="15">
      <c r="A139" s="93" t="s">
        <v>808</v>
      </c>
      <c r="B139" s="22" t="s">
        <v>129</v>
      </c>
      <c r="C139">
        <f t="shared" si="25"/>
        <v>0.2</v>
      </c>
      <c r="D139" t="str">
        <f>INDEX('5. Risico en impact'!$C$4:$J$18,MATCH(B139,'5. Risico en impact'!$A$4:$A$18,0),MATCH(A139,'5. Risico en impact'!$C$3:$J$3,0))</f>
        <v>H</v>
      </c>
      <c r="E139">
        <f t="shared" si="26"/>
        <v>1</v>
      </c>
      <c r="F139">
        <f t="shared" si="27"/>
        <v>0.8</v>
      </c>
    </row>
    <row r="140" spans="1:8" ht="15">
      <c r="A140" s="93" t="s">
        <v>808</v>
      </c>
      <c r="B140" s="22" t="s">
        <v>296</v>
      </c>
      <c r="C140">
        <f t="shared" si="25"/>
        <v>0.2</v>
      </c>
      <c r="D140" t="str">
        <f>INDEX('5. Risico en impact'!$C$4:$J$18,MATCH(B140,'5. Risico en impact'!$A$4:$A$18,0),MATCH(A140,'5. Risico en impact'!$C$3:$J$3,0))</f>
        <v>M</v>
      </c>
      <c r="E140">
        <f t="shared" si="26"/>
        <v>0.5</v>
      </c>
      <c r="F140">
        <f t="shared" si="27"/>
        <v>0.4</v>
      </c>
      <c r="H140"/>
    </row>
    <row r="141" spans="1:8" ht="15">
      <c r="A141" s="93" t="s">
        <v>808</v>
      </c>
      <c r="B141" s="22" t="s">
        <v>302</v>
      </c>
      <c r="C141">
        <f t="shared" si="25"/>
        <v>0.2</v>
      </c>
      <c r="D141" t="str">
        <f>INDEX('5. Risico en impact'!$C$4:$J$18,MATCH(B141,'5. Risico en impact'!$A$4:$A$18,0),MATCH(A141,'5. Risico en impact'!$C$3:$J$3,0))</f>
        <v>M</v>
      </c>
      <c r="E141">
        <f t="shared" si="26"/>
        <v>0.5</v>
      </c>
      <c r="F141">
        <f t="shared" si="27"/>
        <v>0.4</v>
      </c>
    </row>
    <row r="142" spans="1:8" ht="15">
      <c r="A142" s="93" t="s">
        <v>808</v>
      </c>
      <c r="B142" s="22" t="s">
        <v>133</v>
      </c>
      <c r="C142">
        <f t="shared" si="25"/>
        <v>0.2</v>
      </c>
      <c r="D142" t="str">
        <f>INDEX('5. Risico en impact'!$C$4:$J$18,MATCH(B142,'5. Risico en impact'!$A$4:$A$18,0),MATCH(A142,'5. Risico en impact'!$C$3:$J$3,0))</f>
        <v>H</v>
      </c>
      <c r="E142">
        <f t="shared" si="26"/>
        <v>1</v>
      </c>
      <c r="F142">
        <f t="shared" si="27"/>
        <v>0.8</v>
      </c>
    </row>
    <row r="143" spans="1:8" ht="15">
      <c r="A143" s="93" t="s">
        <v>808</v>
      </c>
      <c r="B143" s="22" t="s">
        <v>263</v>
      </c>
      <c r="C143">
        <f t="shared" si="25"/>
        <v>0.2</v>
      </c>
      <c r="D143" t="str">
        <f>INDEX('5. Risico en impact'!$C$4:$J$18,MATCH(B143,'5. Risico en impact'!$A$4:$A$18,0),MATCH(A143,'5. Risico en impact'!$C$3:$J$3,0))</f>
        <v>H</v>
      </c>
      <c r="E143">
        <f t="shared" si="26"/>
        <v>1</v>
      </c>
      <c r="F143">
        <f t="shared" si="27"/>
        <v>0.8</v>
      </c>
      <c r="H143"/>
    </row>
    <row r="144" spans="1:8" ht="15">
      <c r="A144" s="93" t="s">
        <v>808</v>
      </c>
      <c r="B144" s="22" t="s">
        <v>137</v>
      </c>
      <c r="C144">
        <f t="shared" si="25"/>
        <v>0.2</v>
      </c>
      <c r="D144" t="str">
        <f>INDEX('5. Risico en impact'!$C$4:$J$18,MATCH(B144,'5. Risico en impact'!$A$4:$A$18,0),MATCH(A144,'5. Risico en impact'!$C$3:$J$3,0))</f>
        <v>H</v>
      </c>
      <c r="E144">
        <f t="shared" si="26"/>
        <v>1</v>
      </c>
      <c r="F144">
        <f t="shared" si="27"/>
        <v>0.8</v>
      </c>
      <c r="H144"/>
    </row>
    <row r="145" spans="1:8" ht="15">
      <c r="A145" s="93" t="s">
        <v>808</v>
      </c>
      <c r="B145" s="22" t="s">
        <v>169</v>
      </c>
      <c r="C145">
        <f t="shared" si="25"/>
        <v>0.2</v>
      </c>
      <c r="D145" t="str">
        <f>INDEX('5. Risico en impact'!$C$4:$J$18,MATCH(B145,'5. Risico en impact'!$A$4:$A$18,0),MATCH(A145,'5. Risico en impact'!$C$3:$J$3,0))</f>
        <v>H</v>
      </c>
      <c r="E145">
        <f t="shared" si="26"/>
        <v>1</v>
      </c>
      <c r="F145">
        <f t="shared" si="27"/>
        <v>0.8</v>
      </c>
      <c r="H145"/>
    </row>
    <row r="146" spans="1:8" ht="15">
      <c r="A146" s="93" t="s">
        <v>808</v>
      </c>
      <c r="B146" s="22" t="s">
        <v>176</v>
      </c>
      <c r="C146">
        <f t="shared" si="25"/>
        <v>0.2</v>
      </c>
      <c r="D146" t="str">
        <f>INDEX('5. Risico en impact'!$C$4:$J$18,MATCH(B146,'5. Risico en impact'!$A$4:$A$18,0),MATCH(A146,'5. Risico en impact'!$C$3:$J$3,0))</f>
        <v>H</v>
      </c>
      <c r="E146">
        <f t="shared" si="26"/>
        <v>1</v>
      </c>
      <c r="F146">
        <f t="shared" si="27"/>
        <v>0.8</v>
      </c>
      <c r="H146"/>
    </row>
    <row r="147" spans="1:8" ht="15">
      <c r="A147" s="93" t="s">
        <v>808</v>
      </c>
      <c r="B147" s="22" t="s">
        <v>183</v>
      </c>
      <c r="C147">
        <f t="shared" si="25"/>
        <v>0.2</v>
      </c>
      <c r="D147" t="str">
        <f>INDEX('5. Risico en impact'!$C$4:$J$18,MATCH(B147,'5. Risico en impact'!$A$4:$A$18,0),MATCH(A147,'5. Risico en impact'!$C$3:$J$3,0))</f>
        <v>H</v>
      </c>
      <c r="E147">
        <f t="shared" si="26"/>
        <v>1</v>
      </c>
      <c r="F147">
        <f t="shared" si="27"/>
        <v>0.8</v>
      </c>
      <c r="H147"/>
    </row>
    <row r="148" spans="1:8" ht="15">
      <c r="A148" s="93" t="s">
        <v>773</v>
      </c>
      <c r="B148" s="22" t="s">
        <v>93</v>
      </c>
      <c r="C148">
        <f t="shared" si="25"/>
        <v>0.2</v>
      </c>
      <c r="D148" t="str">
        <f>INDEX('5. Risico en impact'!$C$4:$J$18,MATCH(B148,'5. Risico en impact'!$A$4:$A$18,0),MATCH(A148,'5. Risico en impact'!$C$3:$J$3,0))</f>
        <v>M</v>
      </c>
      <c r="E148">
        <f t="shared" si="26"/>
        <v>0.5</v>
      </c>
      <c r="F148">
        <f t="shared" si="27"/>
        <v>0.4</v>
      </c>
      <c r="H148"/>
    </row>
    <row r="149" spans="1:8" ht="15">
      <c r="A149" s="93" t="s">
        <v>773</v>
      </c>
      <c r="B149" s="22" t="s">
        <v>211</v>
      </c>
      <c r="C149">
        <f t="shared" si="25"/>
        <v>0.2</v>
      </c>
      <c r="D149" t="str">
        <f>INDEX('5. Risico en impact'!$C$4:$J$18,MATCH(B149,'5. Risico en impact'!$A$4:$A$18,0),MATCH(A149,'5. Risico en impact'!$C$3:$J$3,0))</f>
        <v>H</v>
      </c>
      <c r="E149">
        <f t="shared" si="26"/>
        <v>1</v>
      </c>
      <c r="F149">
        <f t="shared" si="27"/>
        <v>0.8</v>
      </c>
      <c r="H149"/>
    </row>
    <row r="150" spans="1:8" ht="15">
      <c r="A150" s="93" t="s">
        <v>773</v>
      </c>
      <c r="B150" s="22" t="s">
        <v>214</v>
      </c>
      <c r="C150">
        <f t="shared" si="25"/>
        <v>0.2</v>
      </c>
      <c r="D150" t="str">
        <f>INDEX('5. Risico en impact'!$C$4:$J$18,MATCH(B150,'5. Risico en impact'!$A$4:$A$18,0),MATCH(A150,'5. Risico en impact'!$C$3:$J$3,0))</f>
        <v>M</v>
      </c>
      <c r="E150">
        <f t="shared" si="26"/>
        <v>0.5</v>
      </c>
      <c r="F150">
        <f t="shared" si="27"/>
        <v>0.4</v>
      </c>
      <c r="H150"/>
    </row>
    <row r="151" spans="1:8" ht="15">
      <c r="A151" s="93" t="s">
        <v>773</v>
      </c>
      <c r="B151" s="22" t="s">
        <v>316</v>
      </c>
      <c r="C151">
        <f t="shared" si="25"/>
        <v>0.2</v>
      </c>
      <c r="D151" t="str">
        <f>INDEX('5. Risico en impact'!$C$4:$J$18,MATCH(B151,'5. Risico en impact'!$A$4:$A$18,0),MATCH(A151,'5. Risico en impact'!$C$3:$J$3,0))</f>
        <v>H</v>
      </c>
      <c r="E151">
        <f t="shared" si="26"/>
        <v>1</v>
      </c>
      <c r="F151">
        <f t="shared" si="27"/>
        <v>0.8</v>
      </c>
      <c r="H151"/>
    </row>
    <row r="152" spans="1:8" ht="15">
      <c r="A152" s="93" t="s">
        <v>773</v>
      </c>
      <c r="B152" s="22" t="s">
        <v>97</v>
      </c>
      <c r="C152">
        <f t="shared" si="25"/>
        <v>0.2</v>
      </c>
      <c r="D152" t="str">
        <f>INDEX('5. Risico en impact'!$C$4:$J$18,MATCH(B152,'5. Risico en impact'!$A$4:$A$18,0),MATCH(A152,'5. Risico en impact'!$C$3:$J$3,0))</f>
        <v>H</v>
      </c>
      <c r="E152">
        <f t="shared" si="26"/>
        <v>1</v>
      </c>
      <c r="F152">
        <f t="shared" si="27"/>
        <v>0.8</v>
      </c>
      <c r="H152"/>
    </row>
    <row r="153" spans="1:8" ht="15">
      <c r="A153" s="93" t="s">
        <v>773</v>
      </c>
      <c r="B153" s="22" t="s">
        <v>122</v>
      </c>
      <c r="C153">
        <f t="shared" si="25"/>
        <v>0.2</v>
      </c>
      <c r="D153" t="str">
        <f>INDEX('5. Risico en impact'!$C$4:$J$18,MATCH(B153,'5. Risico en impact'!$A$4:$A$18,0),MATCH(A153,'5. Risico en impact'!$C$3:$J$3,0))</f>
        <v>H</v>
      </c>
      <c r="E153">
        <f t="shared" si="26"/>
        <v>1</v>
      </c>
      <c r="F153">
        <f t="shared" si="27"/>
        <v>0.8</v>
      </c>
    </row>
    <row r="154" spans="1:8" ht="15">
      <c r="A154" s="93" t="s">
        <v>773</v>
      </c>
      <c r="B154" s="22" t="s">
        <v>129</v>
      </c>
      <c r="C154">
        <f t="shared" si="25"/>
        <v>0.2</v>
      </c>
      <c r="D154" t="str">
        <f>INDEX('5. Risico en impact'!$C$4:$J$18,MATCH(B154,'5. Risico en impact'!$A$4:$A$18,0),MATCH(A154,'5. Risico en impact'!$C$3:$J$3,0))</f>
        <v>H</v>
      </c>
      <c r="E154">
        <f t="shared" si="26"/>
        <v>1</v>
      </c>
      <c r="F154">
        <f t="shared" si="27"/>
        <v>0.8</v>
      </c>
    </row>
    <row r="155" spans="1:8" ht="15">
      <c r="A155" s="93" t="s">
        <v>773</v>
      </c>
      <c r="B155" s="22" t="s">
        <v>296</v>
      </c>
      <c r="C155">
        <f t="shared" si="25"/>
        <v>0.2</v>
      </c>
      <c r="D155" t="str">
        <f>INDEX('5. Risico en impact'!$C$4:$J$18,MATCH(B155,'5. Risico en impact'!$A$4:$A$18,0),MATCH(A155,'5. Risico en impact'!$C$3:$J$3,0))</f>
        <v>H</v>
      </c>
      <c r="E155">
        <f t="shared" si="26"/>
        <v>1</v>
      </c>
      <c r="F155">
        <f t="shared" si="27"/>
        <v>0.8</v>
      </c>
    </row>
    <row r="156" spans="1:8" ht="15">
      <c r="A156" s="93" t="s">
        <v>773</v>
      </c>
      <c r="B156" s="22" t="s">
        <v>302</v>
      </c>
      <c r="C156">
        <f t="shared" si="25"/>
        <v>0.2</v>
      </c>
      <c r="D156" t="str">
        <f>INDEX('5. Risico en impact'!$C$4:$J$18,MATCH(B156,'5. Risico en impact'!$A$4:$A$18,0),MATCH(A156,'5. Risico en impact'!$C$3:$J$3,0))</f>
        <v>M</v>
      </c>
      <c r="E156">
        <f t="shared" si="26"/>
        <v>0.5</v>
      </c>
      <c r="F156">
        <f t="shared" si="27"/>
        <v>0.4</v>
      </c>
    </row>
    <row r="157" spans="1:8" ht="15">
      <c r="A157" s="93" t="s">
        <v>773</v>
      </c>
      <c r="B157" s="22" t="s">
        <v>133</v>
      </c>
      <c r="C157">
        <f t="shared" si="25"/>
        <v>0.2</v>
      </c>
      <c r="D157" t="str">
        <f>INDEX('5. Risico en impact'!$C$4:$J$18,MATCH(B157,'5. Risico en impact'!$A$4:$A$18,0),MATCH(A157,'5. Risico en impact'!$C$3:$J$3,0))</f>
        <v>H</v>
      </c>
      <c r="E157">
        <f t="shared" si="26"/>
        <v>1</v>
      </c>
      <c r="F157">
        <f t="shared" si="27"/>
        <v>0.8</v>
      </c>
    </row>
    <row r="158" spans="1:8" ht="15">
      <c r="A158" s="93" t="s">
        <v>773</v>
      </c>
      <c r="B158" s="22" t="s">
        <v>263</v>
      </c>
      <c r="C158">
        <f t="shared" si="25"/>
        <v>0.2</v>
      </c>
      <c r="D158" t="str">
        <f>INDEX('5. Risico en impact'!$C$4:$J$18,MATCH(B158,'5. Risico en impact'!$A$4:$A$18,0),MATCH(A158,'5. Risico en impact'!$C$3:$J$3,0))</f>
        <v>H</v>
      </c>
      <c r="E158">
        <f t="shared" si="26"/>
        <v>1</v>
      </c>
      <c r="F158">
        <f t="shared" si="27"/>
        <v>0.8</v>
      </c>
    </row>
    <row r="159" spans="1:8" ht="15">
      <c r="A159" s="93" t="s">
        <v>773</v>
      </c>
      <c r="B159" s="22" t="s">
        <v>137</v>
      </c>
      <c r="C159">
        <f t="shared" si="25"/>
        <v>0.2</v>
      </c>
      <c r="D159" t="str">
        <f>INDEX('5. Risico en impact'!$C$4:$J$18,MATCH(B159,'5. Risico en impact'!$A$4:$A$18,0),MATCH(A159,'5. Risico en impact'!$C$3:$J$3,0))</f>
        <v>H</v>
      </c>
      <c r="E159">
        <f t="shared" si="26"/>
        <v>1</v>
      </c>
      <c r="F159">
        <f t="shared" si="27"/>
        <v>0.8</v>
      </c>
    </row>
    <row r="160" spans="1:8" ht="15">
      <c r="A160" s="93" t="s">
        <v>773</v>
      </c>
      <c r="B160" s="22" t="s">
        <v>169</v>
      </c>
      <c r="C160">
        <f t="shared" si="25"/>
        <v>0.2</v>
      </c>
      <c r="D160" t="str">
        <f>INDEX('5. Risico en impact'!$C$4:$J$18,MATCH(B160,'5. Risico en impact'!$A$4:$A$18,0),MATCH(A160,'5. Risico en impact'!$C$3:$J$3,0))</f>
        <v>H</v>
      </c>
      <c r="E160">
        <f t="shared" si="26"/>
        <v>1</v>
      </c>
      <c r="F160">
        <f t="shared" si="27"/>
        <v>0.8</v>
      </c>
    </row>
    <row r="161" spans="1:6" ht="15">
      <c r="A161" s="93" t="s">
        <v>773</v>
      </c>
      <c r="B161" s="22" t="s">
        <v>176</v>
      </c>
      <c r="C161">
        <f t="shared" si="25"/>
        <v>0.2</v>
      </c>
      <c r="D161" t="str">
        <f>INDEX('5. Risico en impact'!$C$4:$J$18,MATCH(B161,'5. Risico en impact'!$A$4:$A$18,0),MATCH(A161,'5. Risico en impact'!$C$3:$J$3,0))</f>
        <v>H</v>
      </c>
      <c r="E161">
        <f t="shared" si="26"/>
        <v>1</v>
      </c>
      <c r="F161">
        <f t="shared" si="27"/>
        <v>0.8</v>
      </c>
    </row>
    <row r="162" spans="1:6" ht="15">
      <c r="A162" s="93" t="s">
        <v>773</v>
      </c>
      <c r="B162" s="22" t="s">
        <v>183</v>
      </c>
      <c r="C162">
        <f t="shared" si="25"/>
        <v>0.2</v>
      </c>
      <c r="D162" t="str">
        <f>INDEX('5. Risico en impact'!$C$4:$J$18,MATCH(B162,'5. Risico en impact'!$A$4:$A$18,0),MATCH(A162,'5. Risico en impact'!$C$3:$J$3,0))</f>
        <v>M</v>
      </c>
      <c r="E162">
        <f t="shared" si="26"/>
        <v>0.5</v>
      </c>
      <c r="F162">
        <f t="shared" si="27"/>
        <v>0.4</v>
      </c>
    </row>
    <row r="163" spans="1:6" ht="15">
      <c r="A163" s="93" t="s">
        <v>774</v>
      </c>
      <c r="B163" s="22" t="s">
        <v>93</v>
      </c>
      <c r="C163">
        <f t="shared" si="25"/>
        <v>0.2</v>
      </c>
      <c r="D163" t="str">
        <f>INDEX('5. Risico en impact'!$C$4:$J$18,MATCH(B163,'5. Risico en impact'!$A$4:$A$18,0),MATCH(A163,'5. Risico en impact'!$C$3:$J$3,0))</f>
        <v>H</v>
      </c>
      <c r="E163">
        <f t="shared" si="26"/>
        <v>1</v>
      </c>
      <c r="F163">
        <f t="shared" si="27"/>
        <v>0.8</v>
      </c>
    </row>
    <row r="164" spans="1:6" ht="15">
      <c r="A164" s="93" t="s">
        <v>774</v>
      </c>
      <c r="B164" s="22" t="s">
        <v>211</v>
      </c>
      <c r="C164">
        <f t="shared" si="25"/>
        <v>0.2</v>
      </c>
      <c r="D164" t="str">
        <f>INDEX('5. Risico en impact'!$C$4:$J$18,MATCH(B164,'5. Risico en impact'!$A$4:$A$18,0),MATCH(A164,'5. Risico en impact'!$C$3:$J$3,0))</f>
        <v>H</v>
      </c>
      <c r="E164">
        <f t="shared" si="26"/>
        <v>1</v>
      </c>
      <c r="F164">
        <f t="shared" si="27"/>
        <v>0.8</v>
      </c>
    </row>
    <row r="165" spans="1:6" ht="15">
      <c r="A165" s="93" t="s">
        <v>774</v>
      </c>
      <c r="B165" s="22" t="s">
        <v>214</v>
      </c>
      <c r="C165">
        <f t="shared" si="25"/>
        <v>0.2</v>
      </c>
      <c r="D165" t="str">
        <f>INDEX('5. Risico en impact'!$C$4:$J$18,MATCH(B165,'5. Risico en impact'!$A$4:$A$18,0),MATCH(A165,'5. Risico en impact'!$C$3:$J$3,0))</f>
        <v>M</v>
      </c>
      <c r="E165">
        <f t="shared" si="26"/>
        <v>0.5</v>
      </c>
      <c r="F165">
        <f t="shared" si="27"/>
        <v>0.4</v>
      </c>
    </row>
    <row r="166" spans="1:6" ht="15">
      <c r="A166" s="93" t="s">
        <v>774</v>
      </c>
      <c r="B166" s="22" t="s">
        <v>316</v>
      </c>
      <c r="C166">
        <f t="shared" si="25"/>
        <v>0.2</v>
      </c>
      <c r="D166" t="str">
        <f>INDEX('5. Risico en impact'!$C$4:$J$18,MATCH(B166,'5. Risico en impact'!$A$4:$A$18,0),MATCH(A166,'5. Risico en impact'!$C$3:$J$3,0))</f>
        <v>H</v>
      </c>
      <c r="E166">
        <f t="shared" si="26"/>
        <v>1</v>
      </c>
      <c r="F166">
        <f t="shared" si="27"/>
        <v>0.8</v>
      </c>
    </row>
    <row r="167" spans="1:6" ht="15">
      <c r="A167" s="93" t="s">
        <v>774</v>
      </c>
      <c r="B167" s="22" t="s">
        <v>97</v>
      </c>
      <c r="C167">
        <f t="shared" si="25"/>
        <v>0.2</v>
      </c>
      <c r="D167" t="str">
        <f>INDEX('5. Risico en impact'!$C$4:$J$18,MATCH(B167,'5. Risico en impact'!$A$4:$A$18,0),MATCH(A167,'5. Risico en impact'!$C$3:$J$3,0))</f>
        <v>H</v>
      </c>
      <c r="E167">
        <f t="shared" si="26"/>
        <v>1</v>
      </c>
      <c r="F167">
        <f t="shared" si="27"/>
        <v>0.8</v>
      </c>
    </row>
    <row r="168" spans="1:6" ht="15">
      <c r="A168" s="93" t="s">
        <v>774</v>
      </c>
      <c r="B168" s="22" t="s">
        <v>122</v>
      </c>
      <c r="C168">
        <f t="shared" si="25"/>
        <v>0.2</v>
      </c>
      <c r="D168" t="str">
        <f>INDEX('5. Risico en impact'!$C$4:$J$18,MATCH(B168,'5. Risico en impact'!$A$4:$A$18,0),MATCH(A168,'5. Risico en impact'!$C$3:$J$3,0))</f>
        <v>H</v>
      </c>
      <c r="E168">
        <f t="shared" si="26"/>
        <v>1</v>
      </c>
      <c r="F168">
        <f t="shared" si="27"/>
        <v>0.8</v>
      </c>
    </row>
    <row r="169" spans="1:6" ht="15">
      <c r="A169" s="93" t="s">
        <v>774</v>
      </c>
      <c r="B169" s="22" t="s">
        <v>129</v>
      </c>
      <c r="C169">
        <f t="shared" si="25"/>
        <v>0.2</v>
      </c>
      <c r="D169" t="str">
        <f>INDEX('5. Risico en impact'!$C$4:$J$18,MATCH(B169,'5. Risico en impact'!$A$4:$A$18,0),MATCH(A169,'5. Risico en impact'!$C$3:$J$3,0))</f>
        <v>H</v>
      </c>
      <c r="E169">
        <f t="shared" si="26"/>
        <v>1</v>
      </c>
      <c r="F169">
        <f t="shared" si="27"/>
        <v>0.8</v>
      </c>
    </row>
    <row r="170" spans="1:6" ht="15">
      <c r="A170" s="93" t="s">
        <v>774</v>
      </c>
      <c r="B170" s="22" t="s">
        <v>296</v>
      </c>
      <c r="C170">
        <f t="shared" si="25"/>
        <v>0.2</v>
      </c>
      <c r="D170" t="str">
        <f>INDEX('5. Risico en impact'!$C$4:$J$18,MATCH(B170,'5. Risico en impact'!$A$4:$A$18,0),MATCH(A170,'5. Risico en impact'!$C$3:$J$3,0))</f>
        <v>H</v>
      </c>
      <c r="E170">
        <f t="shared" si="26"/>
        <v>1</v>
      </c>
      <c r="F170">
        <f t="shared" si="27"/>
        <v>0.8</v>
      </c>
    </row>
    <row r="171" spans="1:6" ht="15">
      <c r="A171" s="93" t="s">
        <v>774</v>
      </c>
      <c r="B171" s="22" t="s">
        <v>302</v>
      </c>
      <c r="C171">
        <f t="shared" si="25"/>
        <v>0.2</v>
      </c>
      <c r="D171" t="str">
        <f>INDEX('5. Risico en impact'!$C$4:$J$18,MATCH(B171,'5. Risico en impact'!$A$4:$A$18,0),MATCH(A171,'5. Risico en impact'!$C$3:$J$3,0))</f>
        <v>M</v>
      </c>
      <c r="E171">
        <f t="shared" si="26"/>
        <v>0.5</v>
      </c>
      <c r="F171">
        <f t="shared" si="27"/>
        <v>0.4</v>
      </c>
    </row>
    <row r="172" spans="1:6" ht="15">
      <c r="A172" s="93" t="s">
        <v>774</v>
      </c>
      <c r="B172" s="22" t="s">
        <v>133</v>
      </c>
      <c r="C172">
        <f t="shared" si="25"/>
        <v>0.2</v>
      </c>
      <c r="D172" t="str">
        <f>INDEX('5. Risico en impact'!$C$4:$J$18,MATCH(B172,'5. Risico en impact'!$A$4:$A$18,0),MATCH(A172,'5. Risico en impact'!$C$3:$J$3,0))</f>
        <v>H</v>
      </c>
      <c r="E172">
        <f t="shared" si="26"/>
        <v>1</v>
      </c>
      <c r="F172">
        <f t="shared" si="27"/>
        <v>0.8</v>
      </c>
    </row>
    <row r="173" spans="1:6" ht="15">
      <c r="A173" s="93" t="s">
        <v>774</v>
      </c>
      <c r="B173" s="22" t="s">
        <v>263</v>
      </c>
      <c r="C173">
        <f t="shared" si="25"/>
        <v>0.2</v>
      </c>
      <c r="D173" t="str">
        <f>INDEX('5. Risico en impact'!$C$4:$J$18,MATCH(B173,'5. Risico en impact'!$A$4:$A$18,0),MATCH(A173,'5. Risico en impact'!$C$3:$J$3,0))</f>
        <v>H</v>
      </c>
      <c r="E173">
        <f t="shared" si="26"/>
        <v>1</v>
      </c>
      <c r="F173">
        <f t="shared" si="27"/>
        <v>0.8</v>
      </c>
    </row>
    <row r="174" spans="1:6" ht="15">
      <c r="A174" s="93" t="s">
        <v>774</v>
      </c>
      <c r="B174" s="22" t="s">
        <v>137</v>
      </c>
      <c r="C174">
        <f t="shared" si="25"/>
        <v>0.2</v>
      </c>
      <c r="D174" t="str">
        <f>INDEX('5. Risico en impact'!$C$4:$J$18,MATCH(B174,'5. Risico en impact'!$A$4:$A$18,0),MATCH(A174,'5. Risico en impact'!$C$3:$J$3,0))</f>
        <v>H</v>
      </c>
      <c r="E174">
        <f t="shared" si="26"/>
        <v>1</v>
      </c>
      <c r="F174">
        <f t="shared" si="27"/>
        <v>0.8</v>
      </c>
    </row>
    <row r="175" spans="1:6" ht="15">
      <c r="A175" s="93" t="s">
        <v>774</v>
      </c>
      <c r="B175" s="22" t="s">
        <v>169</v>
      </c>
      <c r="C175">
        <f t="shared" si="25"/>
        <v>0.2</v>
      </c>
      <c r="D175" t="str">
        <f>INDEX('5. Risico en impact'!$C$4:$J$18,MATCH(B175,'5. Risico en impact'!$A$4:$A$18,0),MATCH(A175,'5. Risico en impact'!$C$3:$J$3,0))</f>
        <v>H</v>
      </c>
      <c r="E175">
        <f t="shared" si="26"/>
        <v>1</v>
      </c>
      <c r="F175">
        <f t="shared" si="27"/>
        <v>0.8</v>
      </c>
    </row>
    <row r="176" spans="1:6" ht="15">
      <c r="A176" s="93" t="s">
        <v>774</v>
      </c>
      <c r="B176" s="22" t="s">
        <v>176</v>
      </c>
      <c r="C176">
        <f t="shared" si="25"/>
        <v>0.2</v>
      </c>
      <c r="D176" t="str">
        <f>INDEX('5. Risico en impact'!$C$4:$J$18,MATCH(B176,'5. Risico en impact'!$A$4:$A$18,0),MATCH(A176,'5. Risico en impact'!$C$3:$J$3,0))</f>
        <v>H</v>
      </c>
      <c r="E176">
        <f t="shared" si="26"/>
        <v>1</v>
      </c>
      <c r="F176">
        <f t="shared" si="27"/>
        <v>0.8</v>
      </c>
    </row>
    <row r="177" spans="1:6" ht="15">
      <c r="A177" s="93" t="s">
        <v>774</v>
      </c>
      <c r="B177" s="22" t="s">
        <v>183</v>
      </c>
      <c r="C177">
        <f t="shared" si="25"/>
        <v>0.2</v>
      </c>
      <c r="D177" t="str">
        <f>INDEX('5. Risico en impact'!$C$4:$J$18,MATCH(B177,'5. Risico en impact'!$A$4:$A$18,0),MATCH(A177,'5. Risico en impact'!$C$3:$J$3,0))</f>
        <v>H</v>
      </c>
      <c r="E177">
        <f t="shared" si="26"/>
        <v>1</v>
      </c>
      <c r="F177">
        <f t="shared" si="27"/>
        <v>0.8</v>
      </c>
    </row>
    <row r="178" spans="1:6" ht="15">
      <c r="A178" s="93" t="s">
        <v>772</v>
      </c>
      <c r="B178" s="22" t="s">
        <v>93</v>
      </c>
      <c r="C178">
        <f t="shared" si="25"/>
        <v>0.2</v>
      </c>
      <c r="D178" t="str">
        <f>INDEX('5. Risico en impact'!$C$4:$J$18,MATCH(B178,'5. Risico en impact'!$A$4:$A$18,0),MATCH(A178,'5. Risico en impact'!$C$3:$J$3,0))</f>
        <v>M</v>
      </c>
      <c r="E178">
        <f t="shared" si="26"/>
        <v>0.5</v>
      </c>
      <c r="F178">
        <f t="shared" si="27"/>
        <v>0.4</v>
      </c>
    </row>
    <row r="179" spans="1:6" ht="15">
      <c r="A179" s="93" t="s">
        <v>772</v>
      </c>
      <c r="B179" s="22" t="s">
        <v>211</v>
      </c>
      <c r="C179">
        <f t="shared" si="25"/>
        <v>0.2</v>
      </c>
      <c r="D179" t="str">
        <f>INDEX('5. Risico en impact'!$C$4:$J$18,MATCH(B179,'5. Risico en impact'!$A$4:$A$18,0),MATCH(A179,'5. Risico en impact'!$C$3:$J$3,0))</f>
        <v>H</v>
      </c>
      <c r="E179">
        <f t="shared" si="26"/>
        <v>1</v>
      </c>
      <c r="F179">
        <f t="shared" si="27"/>
        <v>0.8</v>
      </c>
    </row>
    <row r="180" spans="1:6" ht="15">
      <c r="A180" s="93" t="s">
        <v>772</v>
      </c>
      <c r="B180" s="22" t="s">
        <v>214</v>
      </c>
      <c r="C180">
        <f t="shared" si="25"/>
        <v>0.2</v>
      </c>
      <c r="D180" t="str">
        <f>INDEX('5. Risico en impact'!$C$4:$J$18,MATCH(B180,'5. Risico en impact'!$A$4:$A$18,0),MATCH(A180,'5. Risico en impact'!$C$3:$J$3,0))</f>
        <v>M</v>
      </c>
      <c r="E180">
        <f t="shared" si="26"/>
        <v>0.5</v>
      </c>
      <c r="F180">
        <f t="shared" si="27"/>
        <v>0.4</v>
      </c>
    </row>
    <row r="181" spans="1:6" ht="15">
      <c r="A181" s="93" t="s">
        <v>772</v>
      </c>
      <c r="B181" s="22" t="s">
        <v>316</v>
      </c>
      <c r="C181">
        <f t="shared" si="25"/>
        <v>0.2</v>
      </c>
      <c r="D181" t="str">
        <f>INDEX('5. Risico en impact'!$C$4:$J$18,MATCH(B181,'5. Risico en impact'!$A$4:$A$18,0),MATCH(A181,'5. Risico en impact'!$C$3:$J$3,0))</f>
        <v>M</v>
      </c>
      <c r="E181">
        <f t="shared" si="26"/>
        <v>0.5</v>
      </c>
      <c r="F181">
        <f t="shared" si="27"/>
        <v>0.4</v>
      </c>
    </row>
    <row r="182" spans="1:6" ht="15">
      <c r="A182" s="93" t="s">
        <v>772</v>
      </c>
      <c r="B182" s="22" t="s">
        <v>97</v>
      </c>
      <c r="C182">
        <f t="shared" si="25"/>
        <v>0.2</v>
      </c>
      <c r="D182" t="str">
        <f>INDEX('5. Risico en impact'!$C$4:$J$18,MATCH(B182,'5. Risico en impact'!$A$4:$A$18,0),MATCH(A182,'5. Risico en impact'!$C$3:$J$3,0))</f>
        <v>M</v>
      </c>
      <c r="E182">
        <f t="shared" si="26"/>
        <v>0.5</v>
      </c>
      <c r="F182">
        <f t="shared" si="27"/>
        <v>0.4</v>
      </c>
    </row>
    <row r="183" spans="1:6" ht="15">
      <c r="A183" s="93" t="s">
        <v>772</v>
      </c>
      <c r="B183" s="22" t="s">
        <v>122</v>
      </c>
      <c r="C183">
        <f t="shared" si="25"/>
        <v>0.2</v>
      </c>
      <c r="D183" t="str">
        <f>INDEX('5. Risico en impact'!$C$4:$J$18,MATCH(B183,'5. Risico en impact'!$A$4:$A$18,0),MATCH(A183,'5. Risico en impact'!$C$3:$J$3,0))</f>
        <v>M</v>
      </c>
      <c r="E183">
        <f t="shared" si="26"/>
        <v>0.5</v>
      </c>
      <c r="F183">
        <f t="shared" si="27"/>
        <v>0.4</v>
      </c>
    </row>
    <row r="184" spans="1:6" ht="15">
      <c r="A184" s="93" t="s">
        <v>772</v>
      </c>
      <c r="B184" s="22" t="s">
        <v>129</v>
      </c>
      <c r="C184">
        <f t="shared" si="25"/>
        <v>0.2</v>
      </c>
      <c r="D184" t="str">
        <f>INDEX('5. Risico en impact'!$C$4:$J$18,MATCH(B184,'5. Risico en impact'!$A$4:$A$18,0),MATCH(A184,'5. Risico en impact'!$C$3:$J$3,0))</f>
        <v>H</v>
      </c>
      <c r="E184">
        <f t="shared" si="26"/>
        <v>1</v>
      </c>
      <c r="F184">
        <f t="shared" si="27"/>
        <v>0.8</v>
      </c>
    </row>
    <row r="185" spans="1:6" ht="15">
      <c r="A185" s="93" t="s">
        <v>772</v>
      </c>
      <c r="B185" s="22" t="s">
        <v>296</v>
      </c>
      <c r="C185">
        <f t="shared" si="25"/>
        <v>0.2</v>
      </c>
      <c r="D185" t="str">
        <f>INDEX('5. Risico en impact'!$C$4:$J$18,MATCH(B185,'5. Risico en impact'!$A$4:$A$18,0),MATCH(A185,'5. Risico en impact'!$C$3:$J$3,0))</f>
        <v>M</v>
      </c>
      <c r="E185">
        <f t="shared" si="26"/>
        <v>0.5</v>
      </c>
      <c r="F185">
        <f t="shared" si="27"/>
        <v>0.4</v>
      </c>
    </row>
    <row r="186" spans="1:6" ht="15">
      <c r="A186" s="93" t="s">
        <v>772</v>
      </c>
      <c r="B186" s="22" t="s">
        <v>302</v>
      </c>
      <c r="C186">
        <f t="shared" si="25"/>
        <v>0.2</v>
      </c>
      <c r="D186" t="str">
        <f>INDEX('5. Risico en impact'!$C$4:$J$18,MATCH(B186,'5. Risico en impact'!$A$4:$A$18,0),MATCH(A186,'5. Risico en impact'!$C$3:$J$3,0))</f>
        <v>M</v>
      </c>
      <c r="E186">
        <f t="shared" si="26"/>
        <v>0.5</v>
      </c>
      <c r="F186">
        <f t="shared" si="27"/>
        <v>0.4</v>
      </c>
    </row>
    <row r="187" spans="1:6" ht="15">
      <c r="A187" s="93" t="s">
        <v>772</v>
      </c>
      <c r="B187" s="22" t="s">
        <v>133</v>
      </c>
      <c r="C187">
        <f t="shared" si="25"/>
        <v>0.2</v>
      </c>
      <c r="D187" t="str">
        <f>INDEX('5. Risico en impact'!$C$4:$J$18,MATCH(B187,'5. Risico en impact'!$A$4:$A$18,0),MATCH(A187,'5. Risico en impact'!$C$3:$J$3,0))</f>
        <v>H</v>
      </c>
      <c r="E187">
        <f t="shared" si="26"/>
        <v>1</v>
      </c>
      <c r="F187">
        <f t="shared" si="27"/>
        <v>0.8</v>
      </c>
    </row>
    <row r="188" spans="1:6" ht="15">
      <c r="A188" s="93" t="s">
        <v>772</v>
      </c>
      <c r="B188" s="22" t="s">
        <v>263</v>
      </c>
      <c r="C188">
        <f t="shared" si="25"/>
        <v>0.2</v>
      </c>
      <c r="D188" t="str">
        <f>INDEX('5. Risico en impact'!$C$4:$J$18,MATCH(B188,'5. Risico en impact'!$A$4:$A$18,0),MATCH(A188,'5. Risico en impact'!$C$3:$J$3,0))</f>
        <v>M</v>
      </c>
      <c r="E188">
        <f t="shared" si="26"/>
        <v>0.5</v>
      </c>
      <c r="F188">
        <f t="shared" si="27"/>
        <v>0.4</v>
      </c>
    </row>
    <row r="189" spans="1:6" ht="15">
      <c r="A189" s="93" t="s">
        <v>772</v>
      </c>
      <c r="B189" s="22" t="s">
        <v>137</v>
      </c>
      <c r="C189">
        <f t="shared" si="25"/>
        <v>0.2</v>
      </c>
      <c r="D189" t="str">
        <f>INDEX('5. Risico en impact'!$C$4:$J$18,MATCH(B189,'5. Risico en impact'!$A$4:$A$18,0),MATCH(A189,'5. Risico en impact'!$C$3:$J$3,0))</f>
        <v>H</v>
      </c>
      <c r="E189">
        <f t="shared" si="26"/>
        <v>1</v>
      </c>
      <c r="F189">
        <f t="shared" si="27"/>
        <v>0.8</v>
      </c>
    </row>
    <row r="190" spans="1:6" ht="15">
      <c r="A190" s="93" t="s">
        <v>772</v>
      </c>
      <c r="B190" s="22" t="s">
        <v>169</v>
      </c>
      <c r="C190">
        <f t="shared" si="25"/>
        <v>0.2</v>
      </c>
      <c r="D190" t="str">
        <f>INDEX('5. Risico en impact'!$C$4:$J$18,MATCH(B190,'5. Risico en impact'!$A$4:$A$18,0),MATCH(A190,'5. Risico en impact'!$C$3:$J$3,0))</f>
        <v>H</v>
      </c>
      <c r="E190">
        <f t="shared" si="26"/>
        <v>1</v>
      </c>
      <c r="F190">
        <f t="shared" si="27"/>
        <v>0.8</v>
      </c>
    </row>
    <row r="191" spans="1:6" ht="15">
      <c r="A191" s="93" t="s">
        <v>772</v>
      </c>
      <c r="B191" s="22" t="s">
        <v>176</v>
      </c>
      <c r="C191">
        <f t="shared" si="25"/>
        <v>0.2</v>
      </c>
      <c r="D191" t="str">
        <f>INDEX('5. Risico en impact'!$C$4:$J$18,MATCH(B191,'5. Risico en impact'!$A$4:$A$18,0),MATCH(A191,'5. Risico en impact'!$C$3:$J$3,0))</f>
        <v>H</v>
      </c>
      <c r="E191">
        <f t="shared" si="26"/>
        <v>1</v>
      </c>
      <c r="F191">
        <f t="shared" si="27"/>
        <v>0.8</v>
      </c>
    </row>
    <row r="192" spans="1:6" ht="15">
      <c r="A192" s="93" t="s">
        <v>772</v>
      </c>
      <c r="B192" s="22" t="s">
        <v>183</v>
      </c>
      <c r="C192">
        <f t="shared" si="25"/>
        <v>0.2</v>
      </c>
      <c r="D192" t="str">
        <f>INDEX('5. Risico en impact'!$C$4:$J$18,MATCH(B192,'5. Risico en impact'!$A$4:$A$18,0),MATCH(A192,'5. Risico en impact'!$C$3:$J$3,0))</f>
        <v>M</v>
      </c>
      <c r="E192">
        <f t="shared" si="26"/>
        <v>0.5</v>
      </c>
      <c r="F192">
        <f t="shared" si="27"/>
        <v>0.4</v>
      </c>
    </row>
    <row r="193" spans="1:6" ht="15">
      <c r="A193" s="123" t="s">
        <v>776</v>
      </c>
      <c r="B193" s="22" t="s">
        <v>93</v>
      </c>
      <c r="C193">
        <f t="shared" si="25"/>
        <v>0.2</v>
      </c>
      <c r="D193" t="str">
        <f>INDEX('5. Risico en impact'!$C$4:$J$18,MATCH(B193,'5. Risico en impact'!$A$4:$A$18,0),MATCH(A193,'5. Risico en impact'!$C$3:$J$3,0))</f>
        <v>H</v>
      </c>
      <c r="E193">
        <f t="shared" si="26"/>
        <v>1</v>
      </c>
      <c r="F193">
        <f t="shared" si="27"/>
        <v>0.8</v>
      </c>
    </row>
    <row r="194" spans="1:6" ht="15">
      <c r="A194" s="123" t="s">
        <v>776</v>
      </c>
      <c r="B194" s="22" t="s">
        <v>211</v>
      </c>
      <c r="C194">
        <f t="shared" si="25"/>
        <v>0.2</v>
      </c>
      <c r="D194" t="str">
        <f>INDEX('5. Risico en impact'!$C$4:$J$18,MATCH(B194,'5. Risico en impact'!$A$4:$A$18,0),MATCH(A194,'5. Risico en impact'!$C$3:$J$3,0))</f>
        <v>H</v>
      </c>
      <c r="E194">
        <f t="shared" si="26"/>
        <v>1</v>
      </c>
      <c r="F194">
        <f t="shared" si="27"/>
        <v>0.8</v>
      </c>
    </row>
    <row r="195" spans="1:6" ht="15">
      <c r="A195" s="123" t="s">
        <v>776</v>
      </c>
      <c r="B195" s="22" t="s">
        <v>214</v>
      </c>
      <c r="C195">
        <f t="shared" si="25"/>
        <v>0.2</v>
      </c>
      <c r="D195" t="str">
        <f>INDEX('5. Risico en impact'!$C$4:$J$18,MATCH(B195,'5. Risico en impact'!$A$4:$A$18,0),MATCH(A195,'5. Risico en impact'!$C$3:$J$3,0))</f>
        <v>H</v>
      </c>
      <c r="E195">
        <f t="shared" si="26"/>
        <v>1</v>
      </c>
      <c r="F195">
        <f t="shared" si="27"/>
        <v>0.8</v>
      </c>
    </row>
    <row r="196" spans="1:6" ht="15">
      <c r="A196" s="123" t="s">
        <v>776</v>
      </c>
      <c r="B196" s="22" t="s">
        <v>316</v>
      </c>
      <c r="C196">
        <f t="shared" si="25"/>
        <v>0.2</v>
      </c>
      <c r="D196" t="str">
        <f>INDEX('5. Risico en impact'!$C$4:$J$18,MATCH(B196,'5. Risico en impact'!$A$4:$A$18,0),MATCH(A196,'5. Risico en impact'!$C$3:$J$3,0))</f>
        <v>M</v>
      </c>
      <c r="E196">
        <f t="shared" si="26"/>
        <v>0.5</v>
      </c>
      <c r="F196">
        <f t="shared" si="27"/>
        <v>0.4</v>
      </c>
    </row>
    <row r="197" spans="1:6" ht="15">
      <c r="A197" s="123" t="s">
        <v>776</v>
      </c>
      <c r="B197" s="22" t="s">
        <v>97</v>
      </c>
      <c r="C197">
        <f t="shared" si="25"/>
        <v>0.2</v>
      </c>
      <c r="D197" t="str">
        <f>INDEX('5. Risico en impact'!$C$4:$J$18,MATCH(B197,'5. Risico en impact'!$A$4:$A$18,0),MATCH(A197,'5. Risico en impact'!$C$3:$J$3,0))</f>
        <v>H</v>
      </c>
      <c r="E197">
        <f t="shared" si="26"/>
        <v>1</v>
      </c>
      <c r="F197">
        <f t="shared" si="27"/>
        <v>0.8</v>
      </c>
    </row>
    <row r="198" spans="1:6" ht="15">
      <c r="A198" s="123" t="s">
        <v>776</v>
      </c>
      <c r="B198" s="22" t="s">
        <v>122</v>
      </c>
      <c r="C198">
        <f t="shared" ref="C198:C252" si="28">_xlfn.XLOOKUP(B198,$A$50:$A$64,$B$50:$B$64,"")</f>
        <v>0.2</v>
      </c>
      <c r="D198" t="str">
        <f>INDEX('5. Risico en impact'!$C$4:$J$18,MATCH(B198,'5. Risico en impact'!$A$4:$A$18,0),MATCH(A198,'5. Risico en impact'!$C$3:$J$3,0))</f>
        <v>H</v>
      </c>
      <c r="E198">
        <f t="shared" ref="E198:E251" si="29">IF(D198="H",1,IF(D198="M",0.5,IF(D198="L",0.25,0)))</f>
        <v>1</v>
      </c>
      <c r="F198">
        <f t="shared" ref="F198:F251" si="30">IFERROR((1-C198)*E198,0)</f>
        <v>0.8</v>
      </c>
    </row>
    <row r="199" spans="1:6" ht="15">
      <c r="A199" s="123" t="s">
        <v>776</v>
      </c>
      <c r="B199" s="22" t="s">
        <v>129</v>
      </c>
      <c r="C199">
        <f t="shared" si="28"/>
        <v>0.2</v>
      </c>
      <c r="D199" t="str">
        <f>INDEX('5. Risico en impact'!$C$4:$J$18,MATCH(B199,'5. Risico en impact'!$A$4:$A$18,0),MATCH(A199,'5. Risico en impact'!$C$3:$J$3,0))</f>
        <v>H</v>
      </c>
      <c r="E199">
        <f t="shared" si="29"/>
        <v>1</v>
      </c>
      <c r="F199">
        <f t="shared" si="30"/>
        <v>0.8</v>
      </c>
    </row>
    <row r="200" spans="1:6" ht="15">
      <c r="A200" s="123" t="s">
        <v>776</v>
      </c>
      <c r="B200" s="22" t="s">
        <v>296</v>
      </c>
      <c r="C200">
        <f t="shared" si="28"/>
        <v>0.2</v>
      </c>
      <c r="D200" t="str">
        <f>INDEX('5. Risico en impact'!$C$4:$J$18,MATCH(B200,'5. Risico en impact'!$A$4:$A$18,0),MATCH(A200,'5. Risico en impact'!$C$3:$J$3,0))</f>
        <v>M</v>
      </c>
      <c r="E200">
        <f t="shared" si="29"/>
        <v>0.5</v>
      </c>
      <c r="F200">
        <f t="shared" si="30"/>
        <v>0.4</v>
      </c>
    </row>
    <row r="201" spans="1:6" ht="15">
      <c r="A201" s="123" t="s">
        <v>776</v>
      </c>
      <c r="B201" s="22" t="s">
        <v>302</v>
      </c>
      <c r="C201">
        <f t="shared" si="28"/>
        <v>0.2</v>
      </c>
      <c r="D201" t="str">
        <f>INDEX('5. Risico en impact'!$C$4:$J$18,MATCH(B201,'5. Risico en impact'!$A$4:$A$18,0),MATCH(A201,'5. Risico en impact'!$C$3:$J$3,0))</f>
        <v>H</v>
      </c>
      <c r="E201">
        <f t="shared" si="29"/>
        <v>1</v>
      </c>
      <c r="F201">
        <f t="shared" si="30"/>
        <v>0.8</v>
      </c>
    </row>
    <row r="202" spans="1:6" ht="15">
      <c r="A202" s="123" t="s">
        <v>776</v>
      </c>
      <c r="B202" s="22" t="s">
        <v>133</v>
      </c>
      <c r="C202">
        <f t="shared" si="28"/>
        <v>0.2</v>
      </c>
      <c r="D202" t="str">
        <f>INDEX('5. Risico en impact'!$C$4:$J$18,MATCH(B202,'5. Risico en impact'!$A$4:$A$18,0),MATCH(A202,'5. Risico en impact'!$C$3:$J$3,0))</f>
        <v>H</v>
      </c>
      <c r="E202">
        <f t="shared" si="29"/>
        <v>1</v>
      </c>
      <c r="F202">
        <f t="shared" si="30"/>
        <v>0.8</v>
      </c>
    </row>
    <row r="203" spans="1:6" ht="15">
      <c r="A203" s="123" t="s">
        <v>776</v>
      </c>
      <c r="B203" s="22" t="s">
        <v>263</v>
      </c>
      <c r="C203">
        <f t="shared" si="28"/>
        <v>0.2</v>
      </c>
      <c r="D203" t="str">
        <f>INDEX('5. Risico en impact'!$C$4:$J$18,MATCH(B203,'5. Risico en impact'!$A$4:$A$18,0),MATCH(A203,'5. Risico en impact'!$C$3:$J$3,0))</f>
        <v>H</v>
      </c>
      <c r="E203">
        <f t="shared" si="29"/>
        <v>1</v>
      </c>
      <c r="F203">
        <f t="shared" si="30"/>
        <v>0.8</v>
      </c>
    </row>
    <row r="204" spans="1:6" ht="15">
      <c r="A204" s="123" t="s">
        <v>776</v>
      </c>
      <c r="B204" s="22" t="s">
        <v>137</v>
      </c>
      <c r="C204">
        <f t="shared" si="28"/>
        <v>0.2</v>
      </c>
      <c r="D204" t="str">
        <f>INDEX('5. Risico en impact'!$C$4:$J$18,MATCH(B204,'5. Risico en impact'!$A$4:$A$18,0),MATCH(A204,'5. Risico en impact'!$C$3:$J$3,0))</f>
        <v>H</v>
      </c>
      <c r="E204">
        <f t="shared" si="29"/>
        <v>1</v>
      </c>
      <c r="F204">
        <f t="shared" si="30"/>
        <v>0.8</v>
      </c>
    </row>
    <row r="205" spans="1:6" ht="15">
      <c r="A205" s="123" t="s">
        <v>776</v>
      </c>
      <c r="B205" s="22" t="s">
        <v>169</v>
      </c>
      <c r="C205">
        <f t="shared" si="28"/>
        <v>0.2</v>
      </c>
      <c r="D205" t="str">
        <f>INDEX('5. Risico en impact'!$C$4:$J$18,MATCH(B205,'5. Risico en impact'!$A$4:$A$18,0),MATCH(A205,'5. Risico en impact'!$C$3:$J$3,0))</f>
        <v>H</v>
      </c>
      <c r="E205">
        <f t="shared" si="29"/>
        <v>1</v>
      </c>
      <c r="F205">
        <f t="shared" si="30"/>
        <v>0.8</v>
      </c>
    </row>
    <row r="206" spans="1:6" ht="15">
      <c r="A206" s="123" t="s">
        <v>776</v>
      </c>
      <c r="B206" s="22" t="s">
        <v>176</v>
      </c>
      <c r="C206">
        <f t="shared" si="28"/>
        <v>0.2</v>
      </c>
      <c r="D206" t="str">
        <f>INDEX('5. Risico en impact'!$C$4:$J$18,MATCH(B206,'5. Risico en impact'!$A$4:$A$18,0),MATCH(A206,'5. Risico en impact'!$C$3:$J$3,0))</f>
        <v>H</v>
      </c>
      <c r="E206">
        <f t="shared" si="29"/>
        <v>1</v>
      </c>
      <c r="F206">
        <f t="shared" si="30"/>
        <v>0.8</v>
      </c>
    </row>
    <row r="207" spans="1:6" ht="15">
      <c r="A207" s="123" t="s">
        <v>776</v>
      </c>
      <c r="B207" s="22" t="s">
        <v>183</v>
      </c>
      <c r="C207">
        <f t="shared" si="28"/>
        <v>0.2</v>
      </c>
      <c r="D207" t="str">
        <f>INDEX('5. Risico en impact'!$C$4:$J$18,MATCH(B207,'5. Risico en impact'!$A$4:$A$18,0),MATCH(A207,'5. Risico en impact'!$C$3:$J$3,0))</f>
        <v>H</v>
      </c>
      <c r="E207">
        <f t="shared" si="29"/>
        <v>1</v>
      </c>
      <c r="F207">
        <f t="shared" si="30"/>
        <v>0.8</v>
      </c>
    </row>
    <row r="208" spans="1:6" ht="15">
      <c r="A208" s="123" t="s">
        <v>775</v>
      </c>
      <c r="B208" s="22" t="s">
        <v>93</v>
      </c>
      <c r="C208">
        <f t="shared" si="28"/>
        <v>0.2</v>
      </c>
      <c r="D208" t="str">
        <f>INDEX('5. Risico en impact'!$C$4:$J$18,MATCH(B208,'5. Risico en impact'!$A$4:$A$18,0),MATCH(A208,'5. Risico en impact'!$C$3:$J$3,0))</f>
        <v>M</v>
      </c>
      <c r="E208">
        <f t="shared" si="29"/>
        <v>0.5</v>
      </c>
      <c r="F208">
        <f t="shared" si="30"/>
        <v>0.4</v>
      </c>
    </row>
    <row r="209" spans="1:6" ht="15">
      <c r="A209" s="123" t="s">
        <v>775</v>
      </c>
      <c r="B209" s="22" t="s">
        <v>211</v>
      </c>
      <c r="C209">
        <f t="shared" si="28"/>
        <v>0.2</v>
      </c>
      <c r="D209" t="str">
        <f>INDEX('5. Risico en impact'!$C$4:$J$18,MATCH(B209,'5. Risico en impact'!$A$4:$A$18,0),MATCH(A209,'5. Risico en impact'!$C$3:$J$3,0))</f>
        <v>M</v>
      </c>
      <c r="E209">
        <f t="shared" si="29"/>
        <v>0.5</v>
      </c>
      <c r="F209">
        <f t="shared" si="30"/>
        <v>0.4</v>
      </c>
    </row>
    <row r="210" spans="1:6" ht="15">
      <c r="A210" s="123" t="s">
        <v>775</v>
      </c>
      <c r="B210" s="22" t="s">
        <v>214</v>
      </c>
      <c r="C210">
        <f t="shared" si="28"/>
        <v>0.2</v>
      </c>
      <c r="D210" t="str">
        <f>INDEX('5. Risico en impact'!$C$4:$J$18,MATCH(B210,'5. Risico en impact'!$A$4:$A$18,0),MATCH(A210,'5. Risico en impact'!$C$3:$J$3,0))</f>
        <v>M</v>
      </c>
      <c r="E210">
        <f t="shared" si="29"/>
        <v>0.5</v>
      </c>
      <c r="F210">
        <f t="shared" si="30"/>
        <v>0.4</v>
      </c>
    </row>
    <row r="211" spans="1:6" ht="15">
      <c r="A211" s="123" t="s">
        <v>775</v>
      </c>
      <c r="B211" s="22" t="s">
        <v>316</v>
      </c>
      <c r="C211">
        <f t="shared" si="28"/>
        <v>0.2</v>
      </c>
      <c r="D211" t="str">
        <f>INDEX('5. Risico en impact'!$C$4:$J$18,MATCH(B211,'5. Risico en impact'!$A$4:$A$18,0),MATCH(A211,'5. Risico en impact'!$C$3:$J$3,0))</f>
        <v>M</v>
      </c>
      <c r="E211">
        <f t="shared" si="29"/>
        <v>0.5</v>
      </c>
      <c r="F211">
        <f t="shared" si="30"/>
        <v>0.4</v>
      </c>
    </row>
    <row r="212" spans="1:6" ht="15">
      <c r="A212" s="123" t="s">
        <v>775</v>
      </c>
      <c r="B212" s="22" t="s">
        <v>97</v>
      </c>
      <c r="C212">
        <f t="shared" si="28"/>
        <v>0.2</v>
      </c>
      <c r="D212" t="str">
        <f>INDEX('5. Risico en impact'!$C$4:$J$18,MATCH(B212,'5. Risico en impact'!$A$4:$A$18,0),MATCH(A212,'5. Risico en impact'!$C$3:$J$3,0))</f>
        <v>M</v>
      </c>
      <c r="E212">
        <f t="shared" si="29"/>
        <v>0.5</v>
      </c>
      <c r="F212">
        <f t="shared" si="30"/>
        <v>0.4</v>
      </c>
    </row>
    <row r="213" spans="1:6" ht="15">
      <c r="A213" s="123" t="s">
        <v>775</v>
      </c>
      <c r="B213" s="22" t="s">
        <v>122</v>
      </c>
      <c r="C213">
        <f t="shared" si="28"/>
        <v>0.2</v>
      </c>
      <c r="D213" t="str">
        <f>INDEX('5. Risico en impact'!$C$4:$J$18,MATCH(B213,'5. Risico en impact'!$A$4:$A$18,0),MATCH(A213,'5. Risico en impact'!$C$3:$J$3,0))</f>
        <v>H</v>
      </c>
      <c r="E213">
        <f t="shared" si="29"/>
        <v>1</v>
      </c>
      <c r="F213">
        <f t="shared" si="30"/>
        <v>0.8</v>
      </c>
    </row>
    <row r="214" spans="1:6" ht="15">
      <c r="A214" s="123" t="s">
        <v>775</v>
      </c>
      <c r="B214" s="22" t="s">
        <v>129</v>
      </c>
      <c r="C214">
        <f t="shared" si="28"/>
        <v>0.2</v>
      </c>
      <c r="D214" t="str">
        <f>INDEX('5. Risico en impact'!$C$4:$J$18,MATCH(B214,'5. Risico en impact'!$A$4:$A$18,0),MATCH(A214,'5. Risico en impact'!$C$3:$J$3,0))</f>
        <v>H</v>
      </c>
      <c r="E214">
        <f t="shared" si="29"/>
        <v>1</v>
      </c>
      <c r="F214">
        <f t="shared" si="30"/>
        <v>0.8</v>
      </c>
    </row>
    <row r="215" spans="1:6" ht="15">
      <c r="A215" s="123" t="s">
        <v>775</v>
      </c>
      <c r="B215" s="22" t="s">
        <v>296</v>
      </c>
      <c r="C215">
        <f t="shared" si="28"/>
        <v>0.2</v>
      </c>
      <c r="D215" t="str">
        <f>INDEX('5. Risico en impact'!$C$4:$J$18,MATCH(B215,'5. Risico en impact'!$A$4:$A$18,0),MATCH(A215,'5. Risico en impact'!$C$3:$J$3,0))</f>
        <v>M</v>
      </c>
      <c r="E215">
        <f t="shared" si="29"/>
        <v>0.5</v>
      </c>
      <c r="F215">
        <f t="shared" si="30"/>
        <v>0.4</v>
      </c>
    </row>
    <row r="216" spans="1:6" ht="15">
      <c r="A216" s="123" t="s">
        <v>775</v>
      </c>
      <c r="B216" s="22" t="s">
        <v>302</v>
      </c>
      <c r="C216">
        <f t="shared" si="28"/>
        <v>0.2</v>
      </c>
      <c r="D216" t="str">
        <f>INDEX('5. Risico en impact'!$C$4:$J$18,MATCH(B216,'5. Risico en impact'!$A$4:$A$18,0),MATCH(A216,'5. Risico en impact'!$C$3:$J$3,0))</f>
        <v>H</v>
      </c>
      <c r="E216">
        <f t="shared" si="29"/>
        <v>1</v>
      </c>
      <c r="F216">
        <f t="shared" si="30"/>
        <v>0.8</v>
      </c>
    </row>
    <row r="217" spans="1:6" ht="15">
      <c r="A217" s="123" t="s">
        <v>775</v>
      </c>
      <c r="B217" s="22" t="s">
        <v>133</v>
      </c>
      <c r="C217">
        <f t="shared" si="28"/>
        <v>0.2</v>
      </c>
      <c r="D217" t="str">
        <f>INDEX('5. Risico en impact'!$C$4:$J$18,MATCH(B217,'5. Risico en impact'!$A$4:$A$18,0),MATCH(A217,'5. Risico en impact'!$C$3:$J$3,0))</f>
        <v>H</v>
      </c>
      <c r="E217">
        <f t="shared" si="29"/>
        <v>1</v>
      </c>
      <c r="F217">
        <f t="shared" si="30"/>
        <v>0.8</v>
      </c>
    </row>
    <row r="218" spans="1:6" ht="15">
      <c r="A218" s="123" t="s">
        <v>775</v>
      </c>
      <c r="B218" s="22" t="s">
        <v>263</v>
      </c>
      <c r="C218">
        <f t="shared" si="28"/>
        <v>0.2</v>
      </c>
      <c r="D218" t="str">
        <f>INDEX('5. Risico en impact'!$C$4:$J$18,MATCH(B218,'5. Risico en impact'!$A$4:$A$18,0),MATCH(A218,'5. Risico en impact'!$C$3:$J$3,0))</f>
        <v>H</v>
      </c>
      <c r="E218">
        <f t="shared" si="29"/>
        <v>1</v>
      </c>
      <c r="F218">
        <f t="shared" si="30"/>
        <v>0.8</v>
      </c>
    </row>
    <row r="219" spans="1:6" ht="15">
      <c r="A219" s="123" t="s">
        <v>775</v>
      </c>
      <c r="B219" s="22" t="s">
        <v>137</v>
      </c>
      <c r="C219">
        <f t="shared" si="28"/>
        <v>0.2</v>
      </c>
      <c r="D219" t="str">
        <f>INDEX('5. Risico en impact'!$C$4:$J$18,MATCH(B219,'5. Risico en impact'!$A$4:$A$18,0),MATCH(A219,'5. Risico en impact'!$C$3:$J$3,0))</f>
        <v>H</v>
      </c>
      <c r="E219">
        <f t="shared" si="29"/>
        <v>1</v>
      </c>
      <c r="F219">
        <f t="shared" si="30"/>
        <v>0.8</v>
      </c>
    </row>
    <row r="220" spans="1:6" ht="15">
      <c r="A220" s="123" t="s">
        <v>775</v>
      </c>
      <c r="B220" s="22" t="s">
        <v>169</v>
      </c>
      <c r="C220">
        <f t="shared" si="28"/>
        <v>0.2</v>
      </c>
      <c r="D220" t="str">
        <f>INDEX('5. Risico en impact'!$C$4:$J$18,MATCH(B220,'5. Risico en impact'!$A$4:$A$18,0),MATCH(A220,'5. Risico en impact'!$C$3:$J$3,0))</f>
        <v>M</v>
      </c>
      <c r="E220">
        <f t="shared" si="29"/>
        <v>0.5</v>
      </c>
      <c r="F220">
        <f t="shared" si="30"/>
        <v>0.4</v>
      </c>
    </row>
    <row r="221" spans="1:6" ht="15">
      <c r="A221" s="123" t="s">
        <v>775</v>
      </c>
      <c r="B221" s="22" t="s">
        <v>176</v>
      </c>
      <c r="C221">
        <f t="shared" si="28"/>
        <v>0.2</v>
      </c>
      <c r="D221" t="str">
        <f>INDEX('5. Risico en impact'!$C$4:$J$18,MATCH(B221,'5. Risico en impact'!$A$4:$A$18,0),MATCH(A221,'5. Risico en impact'!$C$3:$J$3,0))</f>
        <v>M</v>
      </c>
      <c r="E221">
        <f t="shared" si="29"/>
        <v>0.5</v>
      </c>
      <c r="F221">
        <f t="shared" si="30"/>
        <v>0.4</v>
      </c>
    </row>
    <row r="222" spans="1:6" ht="15">
      <c r="A222" s="123" t="s">
        <v>775</v>
      </c>
      <c r="B222" s="22" t="s">
        <v>183</v>
      </c>
      <c r="C222">
        <f t="shared" si="28"/>
        <v>0.2</v>
      </c>
      <c r="D222" t="str">
        <f>INDEX('5. Risico en impact'!$C$4:$J$18,MATCH(B222,'5. Risico en impact'!$A$4:$A$18,0),MATCH(A222,'5. Risico en impact'!$C$3:$J$3,0))</f>
        <v>M</v>
      </c>
      <c r="E222">
        <f t="shared" si="29"/>
        <v>0.5</v>
      </c>
      <c r="F222">
        <f t="shared" si="30"/>
        <v>0.4</v>
      </c>
    </row>
    <row r="223" spans="1:6" ht="15">
      <c r="A223" s="123" t="s">
        <v>777</v>
      </c>
      <c r="B223" s="22" t="s">
        <v>93</v>
      </c>
      <c r="C223">
        <f t="shared" si="28"/>
        <v>0.2</v>
      </c>
      <c r="D223" t="str">
        <f>INDEX('5. Risico en impact'!$C$4:$J$18,MATCH(B223,'5. Risico en impact'!$A$4:$A$18,0),MATCH(A223,'5. Risico en impact'!$C$3:$J$3,0))</f>
        <v>M</v>
      </c>
      <c r="E223">
        <f t="shared" si="29"/>
        <v>0.5</v>
      </c>
      <c r="F223">
        <f t="shared" si="30"/>
        <v>0.4</v>
      </c>
    </row>
    <row r="224" spans="1:6" ht="15">
      <c r="A224" s="123" t="s">
        <v>777</v>
      </c>
      <c r="B224" s="22" t="s">
        <v>211</v>
      </c>
      <c r="C224">
        <f t="shared" si="28"/>
        <v>0.2</v>
      </c>
      <c r="D224" t="str">
        <f>INDEX('5. Risico en impact'!$C$4:$J$18,MATCH(B224,'5. Risico en impact'!$A$4:$A$18,0),MATCH(A224,'5. Risico en impact'!$C$3:$J$3,0))</f>
        <v>M</v>
      </c>
      <c r="E224">
        <f t="shared" si="29"/>
        <v>0.5</v>
      </c>
      <c r="F224">
        <f t="shared" si="30"/>
        <v>0.4</v>
      </c>
    </row>
    <row r="225" spans="1:6" ht="15">
      <c r="A225" s="123" t="s">
        <v>777</v>
      </c>
      <c r="B225" s="22" t="s">
        <v>214</v>
      </c>
      <c r="C225">
        <f t="shared" si="28"/>
        <v>0.2</v>
      </c>
      <c r="D225" t="str">
        <f>INDEX('5. Risico en impact'!$C$4:$J$18,MATCH(B225,'5. Risico en impact'!$A$4:$A$18,0),MATCH(A225,'5. Risico en impact'!$C$3:$J$3,0))</f>
        <v>M</v>
      </c>
      <c r="E225">
        <f t="shared" si="29"/>
        <v>0.5</v>
      </c>
      <c r="F225">
        <f t="shared" si="30"/>
        <v>0.4</v>
      </c>
    </row>
    <row r="226" spans="1:6" ht="15">
      <c r="A226" s="123" t="s">
        <v>777</v>
      </c>
      <c r="B226" s="22" t="s">
        <v>316</v>
      </c>
      <c r="C226">
        <f t="shared" si="28"/>
        <v>0.2</v>
      </c>
      <c r="D226" t="str">
        <f>INDEX('5. Risico en impact'!$C$4:$J$18,MATCH(B226,'5. Risico en impact'!$A$4:$A$18,0),MATCH(A226,'5. Risico en impact'!$C$3:$J$3,0))</f>
        <v>H</v>
      </c>
      <c r="E226">
        <f t="shared" si="29"/>
        <v>1</v>
      </c>
      <c r="F226">
        <f t="shared" si="30"/>
        <v>0.8</v>
      </c>
    </row>
    <row r="227" spans="1:6" ht="15">
      <c r="A227" s="123" t="s">
        <v>777</v>
      </c>
      <c r="B227" s="22" t="s">
        <v>97</v>
      </c>
      <c r="C227">
        <f t="shared" si="28"/>
        <v>0.2</v>
      </c>
      <c r="D227" t="str">
        <f>INDEX('5. Risico en impact'!$C$4:$J$18,MATCH(B227,'5. Risico en impact'!$A$4:$A$18,0),MATCH(A227,'5. Risico en impact'!$C$3:$J$3,0))</f>
        <v>H</v>
      </c>
      <c r="E227">
        <f t="shared" si="29"/>
        <v>1</v>
      </c>
      <c r="F227">
        <f t="shared" si="30"/>
        <v>0.8</v>
      </c>
    </row>
    <row r="228" spans="1:6" ht="15">
      <c r="A228" s="123" t="s">
        <v>777</v>
      </c>
      <c r="B228" s="22" t="s">
        <v>122</v>
      </c>
      <c r="C228">
        <f t="shared" si="28"/>
        <v>0.2</v>
      </c>
      <c r="D228" t="str">
        <f>INDEX('5. Risico en impact'!$C$4:$J$18,MATCH(B228,'5. Risico en impact'!$A$4:$A$18,0),MATCH(A228,'5. Risico en impact'!$C$3:$J$3,0))</f>
        <v>M</v>
      </c>
      <c r="E228">
        <f t="shared" si="29"/>
        <v>0.5</v>
      </c>
      <c r="F228">
        <f t="shared" si="30"/>
        <v>0.4</v>
      </c>
    </row>
    <row r="229" spans="1:6" ht="15">
      <c r="A229" s="123" t="s">
        <v>777</v>
      </c>
      <c r="B229" s="22" t="s">
        <v>129</v>
      </c>
      <c r="C229">
        <f t="shared" si="28"/>
        <v>0.2</v>
      </c>
      <c r="D229" t="str">
        <f>INDEX('5. Risico en impact'!$C$4:$J$18,MATCH(B229,'5. Risico en impact'!$A$4:$A$18,0),MATCH(A229,'5. Risico en impact'!$C$3:$J$3,0))</f>
        <v>M</v>
      </c>
      <c r="E229">
        <f t="shared" si="29"/>
        <v>0.5</v>
      </c>
      <c r="F229">
        <f t="shared" si="30"/>
        <v>0.4</v>
      </c>
    </row>
    <row r="230" spans="1:6" ht="15">
      <c r="A230" s="123" t="s">
        <v>777</v>
      </c>
      <c r="B230" s="22" t="s">
        <v>296</v>
      </c>
      <c r="C230">
        <f t="shared" si="28"/>
        <v>0.2</v>
      </c>
      <c r="D230" t="str">
        <f>INDEX('5. Risico en impact'!$C$4:$J$18,MATCH(B230,'5. Risico en impact'!$A$4:$A$18,0),MATCH(A230,'5. Risico en impact'!$C$3:$J$3,0))</f>
        <v>H</v>
      </c>
      <c r="E230">
        <f t="shared" si="29"/>
        <v>1</v>
      </c>
      <c r="F230">
        <f t="shared" si="30"/>
        <v>0.8</v>
      </c>
    </row>
    <row r="231" spans="1:6" ht="15">
      <c r="A231" s="123" t="s">
        <v>777</v>
      </c>
      <c r="B231" s="22" t="s">
        <v>302</v>
      </c>
      <c r="C231">
        <f t="shared" si="28"/>
        <v>0.2</v>
      </c>
      <c r="D231" t="str">
        <f>INDEX('5. Risico en impact'!$C$4:$J$18,MATCH(B231,'5. Risico en impact'!$A$4:$A$18,0),MATCH(A231,'5. Risico en impact'!$C$3:$J$3,0))</f>
        <v>M</v>
      </c>
      <c r="E231">
        <f t="shared" si="29"/>
        <v>0.5</v>
      </c>
      <c r="F231">
        <f t="shared" si="30"/>
        <v>0.4</v>
      </c>
    </row>
    <row r="232" spans="1:6" ht="15">
      <c r="A232" s="123" t="s">
        <v>777</v>
      </c>
      <c r="B232" s="22" t="s">
        <v>133</v>
      </c>
      <c r="C232">
        <f t="shared" si="28"/>
        <v>0.2</v>
      </c>
      <c r="D232" t="str">
        <f>INDEX('5. Risico en impact'!$C$4:$J$18,MATCH(B232,'5. Risico en impact'!$A$4:$A$18,0),MATCH(A232,'5. Risico en impact'!$C$3:$J$3,0))</f>
        <v>M</v>
      </c>
      <c r="E232">
        <f t="shared" si="29"/>
        <v>0.5</v>
      </c>
      <c r="F232">
        <f t="shared" si="30"/>
        <v>0.4</v>
      </c>
    </row>
    <row r="233" spans="1:6" ht="15">
      <c r="A233" s="123" t="s">
        <v>777</v>
      </c>
      <c r="B233" s="22" t="s">
        <v>263</v>
      </c>
      <c r="C233">
        <f t="shared" si="28"/>
        <v>0.2</v>
      </c>
      <c r="D233" t="str">
        <f>INDEX('5. Risico en impact'!$C$4:$J$18,MATCH(B233,'5. Risico en impact'!$A$4:$A$18,0),MATCH(A233,'5. Risico en impact'!$C$3:$J$3,0))</f>
        <v>M</v>
      </c>
      <c r="E233">
        <f t="shared" si="29"/>
        <v>0.5</v>
      </c>
      <c r="F233">
        <f t="shared" si="30"/>
        <v>0.4</v>
      </c>
    </row>
    <row r="234" spans="1:6" ht="15">
      <c r="A234" s="123" t="s">
        <v>777</v>
      </c>
      <c r="B234" s="22" t="s">
        <v>137</v>
      </c>
      <c r="C234">
        <f t="shared" si="28"/>
        <v>0.2</v>
      </c>
      <c r="D234" t="str">
        <f>INDEX('5. Risico en impact'!$C$4:$J$18,MATCH(B234,'5. Risico en impact'!$A$4:$A$18,0),MATCH(A234,'5. Risico en impact'!$C$3:$J$3,0))</f>
        <v>M</v>
      </c>
      <c r="E234">
        <f t="shared" si="29"/>
        <v>0.5</v>
      </c>
      <c r="F234">
        <f t="shared" si="30"/>
        <v>0.4</v>
      </c>
    </row>
    <row r="235" spans="1:6" ht="15">
      <c r="A235" s="123" t="s">
        <v>777</v>
      </c>
      <c r="B235" s="22" t="s">
        <v>169</v>
      </c>
      <c r="C235">
        <f t="shared" si="28"/>
        <v>0.2</v>
      </c>
      <c r="D235" t="str">
        <f>INDEX('5. Risico en impact'!$C$4:$J$18,MATCH(B235,'5. Risico en impact'!$A$4:$A$18,0),MATCH(A235,'5. Risico en impact'!$C$3:$J$3,0))</f>
        <v>H</v>
      </c>
      <c r="E235">
        <f t="shared" si="29"/>
        <v>1</v>
      </c>
      <c r="F235">
        <f t="shared" si="30"/>
        <v>0.8</v>
      </c>
    </row>
    <row r="236" spans="1:6" ht="15">
      <c r="A236" s="123" t="s">
        <v>777</v>
      </c>
      <c r="B236" s="22" t="s">
        <v>176</v>
      </c>
      <c r="C236">
        <f t="shared" si="28"/>
        <v>0.2</v>
      </c>
      <c r="D236" t="str">
        <f>INDEX('5. Risico en impact'!$C$4:$J$18,MATCH(B236,'5. Risico en impact'!$A$4:$A$18,0),MATCH(A236,'5. Risico en impact'!$C$3:$J$3,0))</f>
        <v>H</v>
      </c>
      <c r="E236">
        <f t="shared" si="29"/>
        <v>1</v>
      </c>
      <c r="F236">
        <f t="shared" si="30"/>
        <v>0.8</v>
      </c>
    </row>
    <row r="237" spans="1:6" ht="15">
      <c r="A237" s="123" t="s">
        <v>777</v>
      </c>
      <c r="B237" s="22" t="s">
        <v>183</v>
      </c>
      <c r="C237">
        <f t="shared" si="28"/>
        <v>0.2</v>
      </c>
      <c r="D237" t="str">
        <f>INDEX('5. Risico en impact'!$C$4:$J$18,MATCH(B237,'5. Risico en impact'!$A$4:$A$18,0),MATCH(A237,'5. Risico en impact'!$C$3:$J$3,0))</f>
        <v>H</v>
      </c>
      <c r="E237">
        <f t="shared" si="29"/>
        <v>1</v>
      </c>
      <c r="F237">
        <f t="shared" si="30"/>
        <v>0.8</v>
      </c>
    </row>
    <row r="238" spans="1:6" ht="28.5">
      <c r="A238" s="124" t="s">
        <v>778</v>
      </c>
      <c r="B238" s="22" t="s">
        <v>93</v>
      </c>
      <c r="C238">
        <f t="shared" si="28"/>
        <v>0.2</v>
      </c>
      <c r="D238" t="str">
        <f>INDEX('5. Risico en impact'!$C$4:$J$18,MATCH(B238,'5. Risico en impact'!$A$4:$A$18,0),MATCH(A238,'5. Risico en impact'!$C$3:$J$3,0))</f>
        <v>M</v>
      </c>
      <c r="E238">
        <f t="shared" si="29"/>
        <v>0.5</v>
      </c>
      <c r="F238">
        <f t="shared" si="30"/>
        <v>0.4</v>
      </c>
    </row>
    <row r="239" spans="1:6" ht="28.5">
      <c r="A239" s="124" t="s">
        <v>778</v>
      </c>
      <c r="B239" s="22" t="s">
        <v>211</v>
      </c>
      <c r="C239">
        <f t="shared" si="28"/>
        <v>0.2</v>
      </c>
      <c r="D239" t="str">
        <f>INDEX('5. Risico en impact'!$C$4:$J$18,MATCH(B239,'5. Risico en impact'!$A$4:$A$18,0),MATCH(A239,'5. Risico en impact'!$C$3:$J$3,0))</f>
        <v>H</v>
      </c>
      <c r="E239">
        <f t="shared" si="29"/>
        <v>1</v>
      </c>
      <c r="F239">
        <f t="shared" si="30"/>
        <v>0.8</v>
      </c>
    </row>
    <row r="240" spans="1:6" ht="28.5">
      <c r="A240" s="124" t="s">
        <v>778</v>
      </c>
      <c r="B240" s="22" t="s">
        <v>214</v>
      </c>
      <c r="C240">
        <f t="shared" si="28"/>
        <v>0.2</v>
      </c>
      <c r="D240" t="str">
        <f>INDEX('5. Risico en impact'!$C$4:$J$18,MATCH(B240,'5. Risico en impact'!$A$4:$A$18,0),MATCH(A240,'5. Risico en impact'!$C$3:$J$3,0))</f>
        <v>L</v>
      </c>
      <c r="E240">
        <f t="shared" si="29"/>
        <v>0.25</v>
      </c>
      <c r="F240">
        <f t="shared" si="30"/>
        <v>0.2</v>
      </c>
    </row>
    <row r="241" spans="1:10" ht="28.5">
      <c r="A241" s="124" t="s">
        <v>778</v>
      </c>
      <c r="B241" s="22" t="s">
        <v>316</v>
      </c>
      <c r="C241">
        <f t="shared" si="28"/>
        <v>0.2</v>
      </c>
      <c r="D241" t="str">
        <f>INDEX('5. Risico en impact'!$C$4:$J$18,MATCH(B241,'5. Risico en impact'!$A$4:$A$18,0),MATCH(A241,'5. Risico en impact'!$C$3:$J$3,0))</f>
        <v>M</v>
      </c>
      <c r="E241">
        <f t="shared" si="29"/>
        <v>0.5</v>
      </c>
      <c r="F241">
        <f t="shared" si="30"/>
        <v>0.4</v>
      </c>
    </row>
    <row r="242" spans="1:10" ht="28.5">
      <c r="A242" s="124" t="s">
        <v>778</v>
      </c>
      <c r="B242" s="22" t="s">
        <v>97</v>
      </c>
      <c r="C242">
        <f t="shared" si="28"/>
        <v>0.2</v>
      </c>
      <c r="D242" t="str">
        <f>INDEX('5. Risico en impact'!$C$4:$J$18,MATCH(B242,'5. Risico en impact'!$A$4:$A$18,0),MATCH(A242,'5. Risico en impact'!$C$3:$J$3,0))</f>
        <v>H</v>
      </c>
      <c r="E242">
        <f t="shared" si="29"/>
        <v>1</v>
      </c>
      <c r="F242">
        <f t="shared" si="30"/>
        <v>0.8</v>
      </c>
    </row>
    <row r="243" spans="1:10" ht="28.5">
      <c r="A243" s="124" t="s">
        <v>778</v>
      </c>
      <c r="B243" s="22" t="s">
        <v>122</v>
      </c>
      <c r="C243">
        <f t="shared" si="28"/>
        <v>0.2</v>
      </c>
      <c r="D243" t="str">
        <f>INDEX('5. Risico en impact'!$C$4:$J$18,MATCH(B243,'5. Risico en impact'!$A$4:$A$18,0),MATCH(A243,'5. Risico en impact'!$C$3:$J$3,0))</f>
        <v>M</v>
      </c>
      <c r="E243">
        <f t="shared" si="29"/>
        <v>0.5</v>
      </c>
      <c r="F243">
        <f t="shared" si="30"/>
        <v>0.4</v>
      </c>
    </row>
    <row r="244" spans="1:10" ht="28.5">
      <c r="A244" s="124" t="s">
        <v>778</v>
      </c>
      <c r="B244" s="22" t="s">
        <v>129</v>
      </c>
      <c r="C244">
        <f t="shared" si="28"/>
        <v>0.2</v>
      </c>
      <c r="D244" t="str">
        <f>INDEX('5. Risico en impact'!$C$4:$J$18,MATCH(B244,'5. Risico en impact'!$A$4:$A$18,0),MATCH(A244,'5. Risico en impact'!$C$3:$J$3,0))</f>
        <v>M</v>
      </c>
      <c r="E244">
        <f t="shared" si="29"/>
        <v>0.5</v>
      </c>
      <c r="F244">
        <f t="shared" si="30"/>
        <v>0.4</v>
      </c>
    </row>
    <row r="245" spans="1:10" ht="28.5">
      <c r="A245" s="124" t="s">
        <v>778</v>
      </c>
      <c r="B245" s="22" t="s">
        <v>296</v>
      </c>
      <c r="C245">
        <f t="shared" si="28"/>
        <v>0.2</v>
      </c>
      <c r="D245" t="str">
        <f>INDEX('5. Risico en impact'!$C$4:$J$18,MATCH(B245,'5. Risico en impact'!$A$4:$A$18,0),MATCH(A245,'5. Risico en impact'!$C$3:$J$3,0))</f>
        <v>H</v>
      </c>
      <c r="E245">
        <f t="shared" si="29"/>
        <v>1</v>
      </c>
      <c r="F245">
        <f t="shared" si="30"/>
        <v>0.8</v>
      </c>
    </row>
    <row r="246" spans="1:10" ht="28.5">
      <c r="A246" s="124" t="s">
        <v>778</v>
      </c>
      <c r="B246" s="22" t="s">
        <v>302</v>
      </c>
      <c r="C246">
        <f t="shared" si="28"/>
        <v>0.2</v>
      </c>
      <c r="D246" t="str">
        <f>INDEX('5. Risico en impact'!$C$4:$J$18,MATCH(B246,'5. Risico en impact'!$A$4:$A$18,0),MATCH(A246,'5. Risico en impact'!$C$3:$J$3,0))</f>
        <v>M</v>
      </c>
      <c r="E246">
        <f t="shared" si="29"/>
        <v>0.5</v>
      </c>
      <c r="F246">
        <f t="shared" si="30"/>
        <v>0.4</v>
      </c>
    </row>
    <row r="247" spans="1:10" ht="28.5">
      <c r="A247" s="124" t="s">
        <v>778</v>
      </c>
      <c r="B247" s="22" t="s">
        <v>133</v>
      </c>
      <c r="C247">
        <f t="shared" si="28"/>
        <v>0.2</v>
      </c>
      <c r="D247" t="str">
        <f>INDEX('5. Risico en impact'!$C$4:$J$18,MATCH(B247,'5. Risico en impact'!$A$4:$A$18,0),MATCH(A247,'5. Risico en impact'!$C$3:$J$3,0))</f>
        <v>H</v>
      </c>
      <c r="E247">
        <f t="shared" si="29"/>
        <v>1</v>
      </c>
      <c r="F247">
        <f t="shared" si="30"/>
        <v>0.8</v>
      </c>
    </row>
    <row r="248" spans="1:10" ht="28.5">
      <c r="A248" s="124" t="s">
        <v>778</v>
      </c>
      <c r="B248" s="22" t="s">
        <v>263</v>
      </c>
      <c r="C248">
        <f t="shared" si="28"/>
        <v>0.2</v>
      </c>
      <c r="D248" t="str">
        <f>INDEX('5. Risico en impact'!$C$4:$J$18,MATCH(B248,'5. Risico en impact'!$A$4:$A$18,0),MATCH(A248,'5. Risico en impact'!$C$3:$J$3,0))</f>
        <v>H</v>
      </c>
      <c r="E248">
        <f t="shared" si="29"/>
        <v>1</v>
      </c>
      <c r="F248">
        <f t="shared" si="30"/>
        <v>0.8</v>
      </c>
    </row>
    <row r="249" spans="1:10" ht="28.5">
      <c r="A249" s="124" t="s">
        <v>778</v>
      </c>
      <c r="B249" s="22" t="s">
        <v>137</v>
      </c>
      <c r="C249">
        <f t="shared" si="28"/>
        <v>0.2</v>
      </c>
      <c r="D249" t="str">
        <f>INDEX('5. Risico en impact'!$C$4:$J$18,MATCH(B249,'5. Risico en impact'!$A$4:$A$18,0),MATCH(A249,'5. Risico en impact'!$C$3:$J$3,0))</f>
        <v>H</v>
      </c>
      <c r="E249">
        <f t="shared" si="29"/>
        <v>1</v>
      </c>
      <c r="F249">
        <f t="shared" si="30"/>
        <v>0.8</v>
      </c>
    </row>
    <row r="250" spans="1:10" ht="28.5">
      <c r="A250" s="124" t="s">
        <v>778</v>
      </c>
      <c r="B250" s="22" t="s">
        <v>169</v>
      </c>
      <c r="C250">
        <f t="shared" si="28"/>
        <v>0.2</v>
      </c>
      <c r="D250" t="str">
        <f>INDEX('5. Risico en impact'!$C$4:$J$18,MATCH(B250,'5. Risico en impact'!$A$4:$A$18,0),MATCH(A250,'5. Risico en impact'!$C$3:$J$3,0))</f>
        <v>H</v>
      </c>
      <c r="E250">
        <f t="shared" si="29"/>
        <v>1</v>
      </c>
      <c r="F250">
        <f t="shared" si="30"/>
        <v>0.8</v>
      </c>
    </row>
    <row r="251" spans="1:10" ht="28.5">
      <c r="A251" s="124" t="s">
        <v>778</v>
      </c>
      <c r="B251" s="22" t="s">
        <v>176</v>
      </c>
      <c r="C251">
        <f t="shared" si="28"/>
        <v>0.2</v>
      </c>
      <c r="D251" t="str">
        <f>INDEX('5. Risico en impact'!$C$4:$J$18,MATCH(B251,'5. Risico en impact'!$A$4:$A$18,0),MATCH(A251,'5. Risico en impact'!$C$3:$J$3,0))</f>
        <v>H</v>
      </c>
      <c r="E251">
        <f t="shared" si="29"/>
        <v>1</v>
      </c>
      <c r="F251">
        <f t="shared" si="30"/>
        <v>0.8</v>
      </c>
    </row>
    <row r="252" spans="1:10" ht="28.5">
      <c r="A252" s="124" t="s">
        <v>778</v>
      </c>
      <c r="B252" s="22" t="s">
        <v>183</v>
      </c>
      <c r="C252">
        <f t="shared" si="28"/>
        <v>0.2</v>
      </c>
      <c r="D252" t="str">
        <f>INDEX('5. Risico en impact'!$C$4:$J$18,MATCH(B252,'5. Risico en impact'!$A$4:$A$18,0),MATCH(A252,'5. Risico en impact'!$C$3:$J$3,0))</f>
        <v>M</v>
      </c>
      <c r="E252">
        <f>IF(D252="H",1,IF(D252="M",0.5,IF(D252="L",0.25,0)))</f>
        <v>0.5</v>
      </c>
      <c r="F252">
        <f>IFERROR((1-C252)*E252,0)</f>
        <v>0.4</v>
      </c>
    </row>
    <row r="254" spans="1:10">
      <c r="A254" s="125"/>
      <c r="B254" s="125"/>
      <c r="C254" s="125"/>
      <c r="D254" s="125"/>
      <c r="E254" s="125"/>
      <c r="F254" s="125"/>
      <c r="G254" s="125"/>
      <c r="H254" s="125"/>
      <c r="I254" s="125"/>
      <c r="J254" s="125"/>
    </row>
    <row r="255" spans="1:10">
      <c r="A255" s="125"/>
      <c r="B255" s="125"/>
      <c r="C255" s="125"/>
      <c r="D255" s="125"/>
      <c r="E255" s="125"/>
      <c r="F255" s="125"/>
      <c r="G255" s="125"/>
      <c r="H255" s="125"/>
      <c r="I255" s="125"/>
      <c r="J255" s="125"/>
    </row>
    <row r="256" spans="1:10">
      <c r="A256" s="55"/>
      <c r="B256" s="55"/>
      <c r="C256" s="55"/>
      <c r="D256" s="55"/>
      <c r="E256" s="55"/>
      <c r="F256" s="55"/>
    </row>
    <row r="257" spans="1:7" ht="15">
      <c r="A257" s="55" t="s">
        <v>412</v>
      </c>
      <c r="B257" s="87" t="s">
        <v>78</v>
      </c>
      <c r="C257" s="6" t="s">
        <v>813</v>
      </c>
      <c r="D257" s="6" t="s">
        <v>814</v>
      </c>
      <c r="E257"/>
      <c r="F257"/>
    </row>
    <row r="258" spans="1:7" ht="30">
      <c r="A258" s="22" t="s">
        <v>93</v>
      </c>
      <c r="B258">
        <f>IFERROR(_xlfn.XLOOKUP(A258,$A$50:$A$64,$B$50:$B$64),"")</f>
        <v>0.2</v>
      </c>
      <c r="C258" s="2" t="str" cm="1">
        <f t="array" ref="C258">IFERROR(_xlfn.TEXTJOIN(", ",TRUE,_xlfn._xlws.FILTER('5. Risico en impact'!$C$3:$J$3,INDEX('5. Risico en impact'!$C$4:$J$18,MATCH(A258,'5. Risico en impact'!$A$4:$A$18,0),0)="H")),"")</f>
        <v xml:space="preserve">Datamanagement , Privacy , Informatiebeheer </v>
      </c>
      <c r="D258" s="2" t="str">
        <f>IF(B258&lt;0.25,"Onvoldoende beheerst met directe impact op meerdere IV-disciplines",IF(B258&lt;0.5,"Aandachtspunt",IF(B258&lt;0.75,"Redelijk beheerst","Goed beheerst")))</f>
        <v>Onvoldoende beheerst met directe impact op meerdere IV-disciplines</v>
      </c>
      <c r="E258"/>
      <c r="F258"/>
    </row>
    <row r="259" spans="1:7" ht="60">
      <c r="A259" s="22" t="s">
        <v>211</v>
      </c>
      <c r="B259">
        <f t="shared" ref="B259:B272" si="31">IFERROR(_xlfn.XLOOKUP(A259,$A$50:$A$64,$B$50:$B$64),"")</f>
        <v>0.2</v>
      </c>
      <c r="C259" s="2" t="str" cm="1">
        <f t="array" ref="C259">IFERROR(_xlfn.TEXTJOIN(", ",TRUE,_xlfn._xlws.FILTER('5. Risico en impact'!$C$3:$J$3,INDEX('5. Risico en impact'!$C$4:$J$18,MATCH(A259,'5. Risico en impact'!$A$4:$A$18,0),0)="H")),"")</f>
        <v xml:space="preserve">Privacy , Informatiebeveiliging , Cybersecurity, Informatiebeheer , Governance
</v>
      </c>
      <c r="D259" s="2" t="str">
        <f t="shared" ref="D259:D272" si="32">IF(B259&lt;0.25,"Onvoldoende beheerst met directe impact op meerdere IV-disciplines",IF(B259&lt;0.5,"Aandachtspunt",IF(B259&lt;0.75,"Redelijk beheerst","Goed beheerst")))</f>
        <v>Onvoldoende beheerst met directe impact op meerdere IV-disciplines</v>
      </c>
      <c r="E259"/>
      <c r="F259"/>
    </row>
    <row r="260" spans="1:7" ht="30">
      <c r="A260" s="22" t="s">
        <v>214</v>
      </c>
      <c r="B260">
        <f t="shared" si="31"/>
        <v>0.2</v>
      </c>
      <c r="C260" s="2" t="str" cm="1">
        <f t="array" ref="C260">IFERROR(_xlfn.TEXTJOIN(", ",TRUE,_xlfn._xlws.FILTER('5. Risico en impact'!$C$3:$J$3,INDEX('5. Risico en impact'!$C$4:$J$18,MATCH(A260,'5. Risico en impact'!$A$4:$A$18,0),0)="H")),"")</f>
        <v xml:space="preserve">Datamanagement , Informatiebeheer </v>
      </c>
      <c r="D260" s="2" t="str">
        <f t="shared" si="32"/>
        <v>Onvoldoende beheerst met directe impact op meerdere IV-disciplines</v>
      </c>
      <c r="E260"/>
      <c r="F260"/>
    </row>
    <row r="261" spans="1:7" ht="30">
      <c r="A261" s="22" t="s">
        <v>316</v>
      </c>
      <c r="B261">
        <f t="shared" si="31"/>
        <v>0.2</v>
      </c>
      <c r="C261" s="2" t="str" cm="1">
        <f t="array" ref="C261">IFERROR(_xlfn.TEXTJOIN(", ",TRUE,_xlfn._xlws.FILTER('5. Risico en impact'!$C$3:$J$3,INDEX('5. Risico en impact'!$C$4:$J$18,MATCH(A261,'5. Risico en impact'!$A$4:$A$18,0),0)="H")),"")</f>
        <v xml:space="preserve">Privacy , Informatiebeveiliging , Woo </v>
      </c>
      <c r="D261" s="2" t="str">
        <f t="shared" si="32"/>
        <v>Onvoldoende beheerst met directe impact op meerdere IV-disciplines</v>
      </c>
      <c r="E261"/>
      <c r="F261"/>
    </row>
    <row r="262" spans="1:7" ht="60">
      <c r="A262" s="22" t="s">
        <v>97</v>
      </c>
      <c r="B262">
        <f t="shared" si="31"/>
        <v>0.2</v>
      </c>
      <c r="C262" s="2" t="str" cm="1">
        <f t="array" ref="C262">IFERROR(_xlfn.TEXTJOIN(", ",TRUE,_xlfn._xlws.FILTER('5. Risico en impact'!$C$3:$J$3,INDEX('5. Risico en impact'!$C$4:$J$18,MATCH(A262,'5. Risico en impact'!$A$4:$A$18,0),0)="H")),"")</f>
        <v xml:space="preserve">Datamanagement , Privacy , Informatiebeveiliging , Informatiebeheer , Woo , Governance
</v>
      </c>
      <c r="D262" s="2" t="str">
        <f t="shared" si="32"/>
        <v>Onvoldoende beheerst met directe impact op meerdere IV-disciplines</v>
      </c>
      <c r="E262"/>
      <c r="F262"/>
    </row>
    <row r="263" spans="1:7" ht="45">
      <c r="A263" s="22" t="s">
        <v>122</v>
      </c>
      <c r="B263">
        <f t="shared" si="31"/>
        <v>0.2</v>
      </c>
      <c r="C263" s="2" t="str" cm="1">
        <f t="array" ref="C263">IFERROR(_xlfn.TEXTJOIN(", ",TRUE,_xlfn._xlws.FILTER('5. Risico en impact'!$C$3:$J$3,INDEX('5. Risico en impact'!$C$4:$J$18,MATCH(A263,'5. Risico en impact'!$A$4:$A$18,0),0)="H")),"")</f>
        <v xml:space="preserve">Datamanagement , Privacy , Informatiebeveiliging , Functioneel beheer , Informatiebeheer </v>
      </c>
      <c r="D263" s="2" t="str">
        <f t="shared" si="32"/>
        <v>Onvoldoende beheerst met directe impact op meerdere IV-disciplines</v>
      </c>
      <c r="E263"/>
      <c r="F263"/>
    </row>
    <row r="264" spans="1:7" ht="60">
      <c r="A264" s="22" t="s">
        <v>129</v>
      </c>
      <c r="B264">
        <f t="shared" si="31"/>
        <v>0.2</v>
      </c>
      <c r="C264" s="2" t="str" cm="1">
        <f t="array" ref="C264">IFERROR(_xlfn.TEXTJOIN(", ",TRUE,_xlfn._xlws.FILTER('5. Risico en impact'!$C$3:$J$3,INDEX('5. Risico en impact'!$C$4:$J$18,MATCH(A264,'5. Risico en impact'!$A$4:$A$18,0),0)="H")),"")</f>
        <v xml:space="preserve">Datamanagement , Privacy , Informatiebeveiliging , Cybersecurity, Functioneel beheer , Informatiebeheer </v>
      </c>
      <c r="D264" s="2" t="str">
        <f t="shared" si="32"/>
        <v>Onvoldoende beheerst met directe impact op meerdere IV-disciplines</v>
      </c>
      <c r="E264"/>
      <c r="F264"/>
    </row>
    <row r="265" spans="1:7" ht="45">
      <c r="A265" s="22" t="s">
        <v>296</v>
      </c>
      <c r="B265">
        <f t="shared" si="31"/>
        <v>0.2</v>
      </c>
      <c r="C265" s="2" t="str" cm="1">
        <f t="array" ref="C265">IFERROR(_xlfn.TEXTJOIN(", ",TRUE,_xlfn._xlws.FILTER('5. Risico en impact'!$C$3:$J$3,INDEX('5. Risico en impact'!$C$4:$J$18,MATCH(A265,'5. Risico en impact'!$A$4:$A$18,0),0)="H")),"")</f>
        <v xml:space="preserve">Privacy , Informatiebeveiliging , Woo , Governance
</v>
      </c>
      <c r="D265" s="2" t="str">
        <f t="shared" si="32"/>
        <v>Onvoldoende beheerst met directe impact op meerdere IV-disciplines</v>
      </c>
      <c r="E265"/>
      <c r="F265"/>
      <c r="G265"/>
    </row>
    <row r="266" spans="1:7" ht="30">
      <c r="A266" s="22" t="s">
        <v>302</v>
      </c>
      <c r="B266">
        <f t="shared" si="31"/>
        <v>0.2</v>
      </c>
      <c r="C266" s="2" t="str" cm="1">
        <f t="array" ref="C266">IFERROR(_xlfn.TEXTJOIN(", ",TRUE,_xlfn._xlws.FILTER('5. Risico en impact'!$C$3:$J$3,INDEX('5. Risico en impact'!$C$4:$J$18,MATCH(A266,'5. Risico en impact'!$A$4:$A$18,0),0)="H")),"")</f>
        <v xml:space="preserve">Functioneel beheer , Informatiebeheer </v>
      </c>
      <c r="D266" s="2" t="str">
        <f t="shared" si="32"/>
        <v>Onvoldoende beheerst met directe impact op meerdere IV-disciplines</v>
      </c>
      <c r="E266"/>
      <c r="F266"/>
    </row>
    <row r="267" spans="1:7" ht="75">
      <c r="A267" s="22" t="s">
        <v>133</v>
      </c>
      <c r="B267">
        <f t="shared" si="31"/>
        <v>0.2</v>
      </c>
      <c r="C267" s="2" t="str" cm="1">
        <f t="array" ref="C267">IFERROR(_xlfn.TEXTJOIN(", ",TRUE,_xlfn._xlws.FILTER('5. Risico en impact'!$C$3:$J$3,INDEX('5. Risico en impact'!$C$4:$J$18,MATCH(A267,'5. Risico en impact'!$A$4:$A$18,0),0)="H")),"")</f>
        <v xml:space="preserve">Datamanagement , Privacy , Informatiebeveiliging , Cybersecurity, Functioneel beheer , Informatiebeheer , Governance
</v>
      </c>
      <c r="D267" s="2" t="str">
        <f t="shared" si="32"/>
        <v>Onvoldoende beheerst met directe impact op meerdere IV-disciplines</v>
      </c>
      <c r="E267"/>
      <c r="F267"/>
    </row>
    <row r="268" spans="1:7" ht="75">
      <c r="A268" s="22" t="s">
        <v>263</v>
      </c>
      <c r="B268">
        <f t="shared" si="31"/>
        <v>0.2</v>
      </c>
      <c r="C268" s="2" t="str" cm="1">
        <f t="array" ref="C268">IFERROR(_xlfn.TEXTJOIN(", ",TRUE,_xlfn._xlws.FILTER('5. Risico en impact'!$C$3:$J$3,INDEX('5. Risico en impact'!$C$4:$J$18,MATCH(A268,'5. Risico en impact'!$A$4:$A$18,0),0)="H")),"")</f>
        <v xml:space="preserve">Datamanagement , Privacy , Informatiebeveiliging , Functioneel beheer , Informatiebeheer , Governance
</v>
      </c>
      <c r="D268" s="2" t="str">
        <f t="shared" si="32"/>
        <v>Onvoldoende beheerst met directe impact op meerdere IV-disciplines</v>
      </c>
      <c r="E268"/>
      <c r="F268"/>
    </row>
    <row r="269" spans="1:7" ht="75">
      <c r="A269" s="22" t="s">
        <v>137</v>
      </c>
      <c r="B269">
        <f t="shared" si="31"/>
        <v>0.2</v>
      </c>
      <c r="C269" s="2" t="str" cm="1">
        <f t="array" ref="C269">IFERROR(_xlfn.TEXTJOIN(", ",TRUE,_xlfn._xlws.FILTER('5. Risico en impact'!$C$3:$J$3,INDEX('5. Risico en impact'!$C$4:$J$18,MATCH(A269,'5. Risico en impact'!$A$4:$A$18,0),0)="H")),"")</f>
        <v xml:space="preserve">Datamanagement , Privacy , Informatiebeveiliging , Cybersecurity, Functioneel beheer , Informatiebeheer , Governance
</v>
      </c>
      <c r="D269" s="2" t="str">
        <f t="shared" si="32"/>
        <v>Onvoldoende beheerst met directe impact op meerdere IV-disciplines</v>
      </c>
      <c r="E269"/>
      <c r="F269"/>
    </row>
    <row r="270" spans="1:7" ht="60">
      <c r="A270" s="22" t="s">
        <v>169</v>
      </c>
      <c r="B270">
        <f t="shared" si="31"/>
        <v>0.2</v>
      </c>
      <c r="C270" s="2" t="str" cm="1">
        <f t="array" ref="C270">IFERROR(_xlfn.TEXTJOIN(", ",TRUE,_xlfn._xlws.FILTER('5. Risico en impact'!$C$3:$J$3,INDEX('5. Risico en impact'!$C$4:$J$18,MATCH(A270,'5. Risico en impact'!$A$4:$A$18,0),0)="H")),"")</f>
        <v xml:space="preserve">Datamanagement , Privacy , Informatiebeveiliging , Cybersecurity, Informatiebeheer , Woo , Governance
</v>
      </c>
      <c r="D270" s="2" t="str">
        <f t="shared" si="32"/>
        <v>Onvoldoende beheerst met directe impact op meerdere IV-disciplines</v>
      </c>
      <c r="E270"/>
      <c r="F270"/>
    </row>
    <row r="271" spans="1:7" ht="60">
      <c r="A271" s="22" t="s">
        <v>176</v>
      </c>
      <c r="B271">
        <f t="shared" si="31"/>
        <v>0.2</v>
      </c>
      <c r="C271" s="2" t="str" cm="1">
        <f t="array" ref="C271">IFERROR(_xlfn.TEXTJOIN(", ",TRUE,_xlfn._xlws.FILTER('5. Risico en impact'!$C$3:$J$3,INDEX('5. Risico en impact'!$C$4:$J$18,MATCH(A271,'5. Risico en impact'!$A$4:$A$18,0),0)="H")),"")</f>
        <v xml:space="preserve">Datamanagement , Privacy , Informatiebeveiliging , Cybersecurity, Informatiebeheer , Woo , Governance
</v>
      </c>
      <c r="D271" s="2" t="str">
        <f t="shared" si="32"/>
        <v>Onvoldoende beheerst met directe impact op meerdere IV-disciplines</v>
      </c>
      <c r="E271"/>
      <c r="F271"/>
    </row>
    <row r="272" spans="1:7" ht="30">
      <c r="A272" s="22" t="s">
        <v>183</v>
      </c>
      <c r="B272">
        <f t="shared" si="31"/>
        <v>0.2</v>
      </c>
      <c r="C272" s="2" t="str" cm="1">
        <f t="array" ref="C272">IFERROR(_xlfn.TEXTJOIN(", ",TRUE,_xlfn._xlws.FILTER('5. Risico en impact'!$C$3:$J$3,INDEX('5. Risico en impact'!$C$4:$J$18,MATCH(A272,'5. Risico en impact'!$A$4:$A$18,0),0)="H")),"")</f>
        <v xml:space="preserve">Datamanagement , Privacy , Informatiebeheer , Woo </v>
      </c>
      <c r="D272" s="2" t="str">
        <f t="shared" si="32"/>
        <v>Onvoldoende beheerst met directe impact op meerdere IV-disciplines</v>
      </c>
      <c r="E272"/>
      <c r="F272"/>
    </row>
    <row r="273" spans="1:6" ht="15">
      <c r="A273" s="93"/>
      <c r="B273" s="22"/>
      <c r="C273"/>
      <c r="D273"/>
      <c r="E273"/>
      <c r="F273"/>
    </row>
    <row r="274" spans="1:6" ht="15">
      <c r="A274" s="93"/>
      <c r="B274" s="22"/>
      <c r="C274"/>
      <c r="D274"/>
      <c r="E274"/>
      <c r="F274"/>
    </row>
    <row r="275" spans="1:6" ht="15">
      <c r="A275" s="93"/>
      <c r="B275" s="22"/>
      <c r="C275"/>
      <c r="D275"/>
      <c r="E275"/>
      <c r="F275"/>
    </row>
    <row r="276" spans="1:6" ht="15">
      <c r="A276" s="93"/>
      <c r="B276" s="22"/>
      <c r="C276"/>
      <c r="D276"/>
      <c r="E276"/>
      <c r="F276"/>
    </row>
    <row r="277" spans="1:6" ht="15">
      <c r="A277" s="93"/>
      <c r="B277" s="22"/>
      <c r="C277"/>
      <c r="D277"/>
      <c r="E277"/>
      <c r="F277"/>
    </row>
    <row r="278" spans="1:6" ht="15">
      <c r="A278" s="93"/>
      <c r="B278" s="22"/>
      <c r="C278"/>
      <c r="D278"/>
      <c r="E278"/>
      <c r="F278"/>
    </row>
    <row r="279" spans="1:6" ht="15">
      <c r="A279" s="93"/>
      <c r="B279" s="22"/>
      <c r="C279"/>
      <c r="D279"/>
      <c r="E279"/>
      <c r="F279"/>
    </row>
    <row r="280" spans="1:6" ht="15">
      <c r="A280" s="93"/>
      <c r="B280" s="22"/>
      <c r="C280"/>
      <c r="D280"/>
      <c r="E280"/>
      <c r="F280"/>
    </row>
    <row r="281" spans="1:6" ht="15">
      <c r="A281" s="93"/>
      <c r="B281" s="22"/>
      <c r="C281"/>
      <c r="D281"/>
      <c r="E281"/>
      <c r="F281"/>
    </row>
    <row r="282" spans="1:6" ht="15">
      <c r="A282" s="93"/>
      <c r="B282" s="22"/>
      <c r="C282"/>
      <c r="D282"/>
      <c r="E282"/>
      <c r="F282"/>
    </row>
    <row r="283" spans="1:6" ht="15">
      <c r="A283" s="93"/>
      <c r="B283" s="22"/>
      <c r="C283"/>
      <c r="D283"/>
      <c r="E283"/>
      <c r="F283"/>
    </row>
    <row r="284" spans="1:6" ht="15">
      <c r="A284" s="93"/>
      <c r="B284" s="22"/>
      <c r="C284"/>
      <c r="D284"/>
      <c r="E284"/>
      <c r="F284"/>
    </row>
    <row r="285" spans="1:6" ht="15">
      <c r="A285" s="93"/>
      <c r="B285" s="22"/>
      <c r="C285"/>
      <c r="D285"/>
      <c r="E285"/>
      <c r="F285"/>
    </row>
    <row r="286" spans="1:6" ht="15">
      <c r="A286" s="93"/>
      <c r="B286" s="22"/>
      <c r="C286"/>
      <c r="D286"/>
      <c r="E286"/>
      <c r="F286"/>
    </row>
    <row r="287" spans="1:6" ht="15">
      <c r="A287" s="93"/>
      <c r="B287" s="22"/>
      <c r="C287"/>
      <c r="D287"/>
      <c r="E287"/>
      <c r="F287"/>
    </row>
    <row r="288" spans="1:6" ht="15">
      <c r="A288" s="93"/>
      <c r="B288" s="22"/>
      <c r="C288"/>
      <c r="D288"/>
      <c r="E288"/>
      <c r="F288"/>
    </row>
    <row r="289" spans="1:6" ht="15">
      <c r="A289" s="93"/>
      <c r="B289" s="22"/>
      <c r="C289"/>
      <c r="D289"/>
      <c r="E289"/>
      <c r="F289"/>
    </row>
    <row r="290" spans="1:6" ht="15">
      <c r="A290" s="93"/>
      <c r="B290" s="22"/>
      <c r="C290"/>
      <c r="D290"/>
      <c r="E290"/>
      <c r="F290"/>
    </row>
    <row r="291" spans="1:6" ht="15">
      <c r="A291" s="93"/>
      <c r="B291" s="22"/>
      <c r="C291"/>
      <c r="D291"/>
      <c r="E291"/>
      <c r="F291"/>
    </row>
    <row r="292" spans="1:6" ht="15">
      <c r="A292" s="93"/>
      <c r="B292" s="22"/>
      <c r="C292"/>
      <c r="D292"/>
      <c r="E292"/>
      <c r="F292"/>
    </row>
    <row r="293" spans="1:6" ht="15">
      <c r="A293" s="93"/>
      <c r="B293" s="22"/>
      <c r="C293"/>
      <c r="D293"/>
      <c r="E293"/>
      <c r="F293"/>
    </row>
    <row r="294" spans="1:6" ht="15">
      <c r="A294" s="93"/>
      <c r="B294" s="22"/>
      <c r="C294"/>
      <c r="D294"/>
      <c r="E294"/>
      <c r="F294"/>
    </row>
    <row r="295" spans="1:6" ht="15">
      <c r="A295" s="93"/>
      <c r="B295" s="22"/>
      <c r="C295"/>
      <c r="D295"/>
      <c r="E295"/>
      <c r="F295"/>
    </row>
    <row r="296" spans="1:6" ht="15">
      <c r="A296" s="93"/>
      <c r="B296" s="22"/>
      <c r="C296"/>
      <c r="D296"/>
      <c r="E296"/>
      <c r="F296"/>
    </row>
    <row r="297" spans="1:6" ht="15">
      <c r="A297" s="93"/>
      <c r="B297" s="22"/>
      <c r="C297"/>
      <c r="D297"/>
      <c r="E297"/>
      <c r="F297"/>
    </row>
    <row r="298" spans="1:6" ht="15">
      <c r="A298" s="93"/>
      <c r="B298" s="22"/>
      <c r="C298"/>
      <c r="D298"/>
      <c r="E298"/>
      <c r="F298"/>
    </row>
    <row r="299" spans="1:6" ht="15">
      <c r="A299" s="93"/>
      <c r="B299" s="22"/>
      <c r="C299"/>
      <c r="D299"/>
      <c r="E299"/>
      <c r="F299"/>
    </row>
    <row r="300" spans="1:6" ht="15">
      <c r="A300" s="93"/>
      <c r="B300" s="22"/>
      <c r="C300"/>
      <c r="D300"/>
      <c r="E300"/>
      <c r="F300"/>
    </row>
    <row r="301" spans="1:6" ht="15">
      <c r="A301" s="93"/>
      <c r="B301" s="22"/>
      <c r="C301"/>
      <c r="D301"/>
      <c r="E301"/>
      <c r="F301"/>
    </row>
    <row r="302" spans="1:6" ht="15">
      <c r="A302" s="93"/>
      <c r="B302" s="22"/>
      <c r="C302"/>
      <c r="D302"/>
      <c r="E302"/>
      <c r="F302"/>
    </row>
    <row r="303" spans="1:6" ht="15">
      <c r="A303" s="93"/>
      <c r="B303" s="22"/>
      <c r="C303"/>
      <c r="D303"/>
      <c r="E303"/>
      <c r="F303"/>
    </row>
    <row r="304" spans="1:6" ht="15">
      <c r="A304" s="93"/>
      <c r="B304" s="22"/>
      <c r="C304"/>
      <c r="D304"/>
      <c r="E304"/>
      <c r="F304"/>
    </row>
    <row r="305" spans="1:6" ht="15">
      <c r="A305" s="93"/>
      <c r="B305" s="22"/>
      <c r="C305"/>
      <c r="D305"/>
      <c r="E305"/>
      <c r="F305"/>
    </row>
    <row r="306" spans="1:6" ht="15">
      <c r="A306" s="93"/>
      <c r="B306" s="22"/>
      <c r="C306"/>
      <c r="D306"/>
      <c r="E306"/>
      <c r="F306"/>
    </row>
    <row r="307" spans="1:6" ht="15">
      <c r="A307" s="93"/>
      <c r="B307" s="22"/>
      <c r="C307"/>
      <c r="D307"/>
      <c r="E307"/>
      <c r="F307"/>
    </row>
    <row r="308" spans="1:6" ht="15">
      <c r="A308" s="93"/>
      <c r="B308" s="22"/>
      <c r="C308"/>
      <c r="D308"/>
      <c r="E308"/>
      <c r="F308"/>
    </row>
    <row r="309" spans="1:6" ht="15">
      <c r="A309" s="93"/>
      <c r="B309" s="22"/>
      <c r="C309"/>
      <c r="D309"/>
      <c r="E309"/>
      <c r="F309"/>
    </row>
    <row r="310" spans="1:6" ht="15">
      <c r="A310" s="93"/>
      <c r="B310" s="22"/>
      <c r="C310"/>
      <c r="D310"/>
      <c r="E310"/>
      <c r="F310"/>
    </row>
    <row r="311" spans="1:6" ht="15">
      <c r="A311" s="93"/>
      <c r="B311" s="22"/>
      <c r="C311"/>
      <c r="D311"/>
      <c r="E311"/>
      <c r="F311"/>
    </row>
    <row r="312" spans="1:6" ht="15">
      <c r="A312" s="93"/>
      <c r="B312" s="22"/>
      <c r="C312"/>
      <c r="D312"/>
      <c r="E312"/>
      <c r="F312"/>
    </row>
    <row r="313" spans="1:6" ht="15">
      <c r="A313" s="93"/>
      <c r="B313" s="22"/>
      <c r="C313"/>
      <c r="D313"/>
      <c r="E313"/>
      <c r="F313"/>
    </row>
    <row r="314" spans="1:6" ht="15">
      <c r="A314" s="93"/>
      <c r="B314" s="22"/>
      <c r="C314"/>
      <c r="D314"/>
      <c r="E314"/>
      <c r="F314"/>
    </row>
    <row r="315" spans="1:6" ht="15">
      <c r="A315" s="93"/>
      <c r="B315" s="22"/>
      <c r="C315"/>
      <c r="D315"/>
      <c r="E315"/>
      <c r="F315"/>
    </row>
    <row r="316" spans="1:6" ht="15">
      <c r="A316" s="93"/>
      <c r="B316" s="22"/>
      <c r="C316"/>
      <c r="D316"/>
      <c r="E316"/>
      <c r="F316"/>
    </row>
    <row r="317" spans="1:6" ht="15">
      <c r="A317" s="123"/>
      <c r="B317" s="22"/>
      <c r="C317"/>
      <c r="D317"/>
      <c r="E317"/>
      <c r="F317"/>
    </row>
    <row r="318" spans="1:6" ht="15">
      <c r="A318" s="123"/>
      <c r="B318" s="22"/>
      <c r="C318"/>
      <c r="D318"/>
      <c r="E318"/>
      <c r="F318"/>
    </row>
    <row r="319" spans="1:6" ht="15">
      <c r="A319" s="123"/>
      <c r="B319" s="22"/>
      <c r="C319"/>
      <c r="D319"/>
      <c r="E319"/>
      <c r="F319"/>
    </row>
    <row r="320" spans="1:6" ht="15">
      <c r="A320" s="123"/>
      <c r="B320" s="22"/>
      <c r="C320"/>
      <c r="D320"/>
      <c r="E320"/>
      <c r="F320"/>
    </row>
    <row r="321" spans="1:6" ht="15">
      <c r="A321" s="123"/>
      <c r="B321" s="22"/>
      <c r="C321"/>
      <c r="D321"/>
      <c r="E321"/>
      <c r="F321"/>
    </row>
    <row r="322" spans="1:6" ht="15">
      <c r="A322" s="123"/>
      <c r="B322" s="22"/>
      <c r="C322"/>
      <c r="D322"/>
      <c r="E322"/>
      <c r="F322"/>
    </row>
    <row r="323" spans="1:6" ht="15">
      <c r="A323" s="123"/>
      <c r="B323" s="22"/>
      <c r="C323"/>
      <c r="D323"/>
      <c r="E323"/>
      <c r="F323"/>
    </row>
    <row r="324" spans="1:6" ht="15">
      <c r="A324" s="123"/>
      <c r="B324" s="22"/>
      <c r="C324"/>
      <c r="D324"/>
      <c r="E324"/>
      <c r="F324"/>
    </row>
    <row r="325" spans="1:6" ht="15">
      <c r="A325" s="123"/>
      <c r="B325" s="22"/>
      <c r="C325"/>
      <c r="D325"/>
      <c r="E325"/>
      <c r="F325"/>
    </row>
    <row r="326" spans="1:6" ht="15">
      <c r="A326" s="123"/>
      <c r="B326" s="22"/>
      <c r="C326"/>
      <c r="D326"/>
      <c r="E326"/>
      <c r="F326"/>
    </row>
    <row r="327" spans="1:6" ht="15">
      <c r="A327" s="123"/>
      <c r="B327" s="22"/>
      <c r="C327"/>
      <c r="D327"/>
      <c r="E327"/>
      <c r="F327"/>
    </row>
    <row r="328" spans="1:6" ht="15">
      <c r="A328" s="123"/>
      <c r="B328" s="22"/>
      <c r="C328"/>
      <c r="D328"/>
      <c r="E328"/>
      <c r="F328"/>
    </row>
    <row r="329" spans="1:6" ht="15">
      <c r="A329" s="123"/>
      <c r="B329" s="22"/>
      <c r="C329"/>
      <c r="D329"/>
      <c r="E329"/>
      <c r="F329"/>
    </row>
    <row r="330" spans="1:6" ht="15">
      <c r="A330" s="123"/>
      <c r="B330" s="22"/>
      <c r="C330"/>
      <c r="D330"/>
      <c r="E330"/>
      <c r="F330"/>
    </row>
    <row r="331" spans="1:6" ht="15">
      <c r="A331" s="123"/>
      <c r="B331" s="22"/>
      <c r="C331"/>
      <c r="D331"/>
      <c r="E331"/>
      <c r="F331"/>
    </row>
    <row r="332" spans="1:6" ht="15">
      <c r="A332" s="123"/>
      <c r="B332" s="22"/>
      <c r="C332"/>
      <c r="D332"/>
      <c r="E332"/>
      <c r="F332"/>
    </row>
    <row r="333" spans="1:6" ht="15">
      <c r="A333" s="123"/>
      <c r="B333" s="22"/>
      <c r="C333"/>
      <c r="D333"/>
      <c r="E333"/>
      <c r="F333"/>
    </row>
    <row r="334" spans="1:6" ht="15">
      <c r="A334" s="123"/>
      <c r="B334" s="22"/>
      <c r="C334"/>
      <c r="D334"/>
      <c r="E334"/>
      <c r="F334"/>
    </row>
    <row r="335" spans="1:6" ht="15">
      <c r="A335" s="123"/>
      <c r="B335" s="22"/>
      <c r="C335"/>
      <c r="D335"/>
      <c r="E335"/>
      <c r="F335"/>
    </row>
    <row r="336" spans="1:6" ht="15">
      <c r="A336" s="123"/>
      <c r="B336" s="22"/>
      <c r="C336"/>
      <c r="D336"/>
      <c r="E336"/>
      <c r="F336"/>
    </row>
    <row r="337" spans="1:6" ht="15">
      <c r="A337" s="123"/>
      <c r="B337" s="22"/>
      <c r="C337"/>
      <c r="D337"/>
      <c r="E337"/>
      <c r="F337"/>
    </row>
    <row r="338" spans="1:6" ht="15">
      <c r="A338" s="123"/>
      <c r="B338" s="22"/>
      <c r="C338"/>
      <c r="D338"/>
      <c r="E338"/>
      <c r="F338"/>
    </row>
    <row r="339" spans="1:6" ht="15">
      <c r="A339" s="123"/>
      <c r="B339" s="22"/>
      <c r="C339"/>
      <c r="D339"/>
      <c r="E339"/>
      <c r="F339"/>
    </row>
    <row r="340" spans="1:6" ht="15">
      <c r="A340" s="123"/>
      <c r="B340" s="22"/>
      <c r="C340"/>
      <c r="D340"/>
      <c r="E340"/>
      <c r="F340"/>
    </row>
    <row r="341" spans="1:6" ht="15">
      <c r="A341" s="123"/>
      <c r="B341" s="22"/>
      <c r="C341"/>
      <c r="D341"/>
      <c r="E341"/>
      <c r="F341"/>
    </row>
    <row r="342" spans="1:6" ht="15">
      <c r="A342" s="123"/>
      <c r="B342" s="22"/>
      <c r="C342"/>
      <c r="D342"/>
      <c r="E342"/>
      <c r="F342"/>
    </row>
    <row r="343" spans="1:6" ht="15">
      <c r="A343" s="123"/>
      <c r="B343" s="22"/>
      <c r="C343"/>
      <c r="D343"/>
      <c r="E343"/>
      <c r="F343"/>
    </row>
    <row r="344" spans="1:6" ht="15">
      <c r="A344" s="123"/>
      <c r="B344" s="22"/>
      <c r="C344"/>
      <c r="D344"/>
      <c r="E344"/>
      <c r="F344"/>
    </row>
    <row r="345" spans="1:6" ht="15">
      <c r="A345" s="123"/>
      <c r="B345" s="22"/>
      <c r="C345"/>
      <c r="D345"/>
      <c r="E345"/>
      <c r="F345"/>
    </row>
    <row r="346" spans="1:6" ht="15">
      <c r="A346" s="123"/>
      <c r="B346" s="22"/>
      <c r="C346"/>
      <c r="D346"/>
      <c r="E346"/>
      <c r="F346"/>
    </row>
    <row r="347" spans="1:6" ht="15">
      <c r="A347" s="123"/>
      <c r="B347" s="22"/>
      <c r="C347"/>
      <c r="D347"/>
      <c r="E347"/>
      <c r="F347"/>
    </row>
    <row r="348" spans="1:6" ht="15">
      <c r="A348" s="123"/>
      <c r="B348" s="22"/>
      <c r="C348"/>
      <c r="D348"/>
      <c r="E348"/>
      <c r="F348"/>
    </row>
    <row r="349" spans="1:6" ht="15">
      <c r="A349" s="123"/>
      <c r="B349" s="22"/>
      <c r="C349"/>
      <c r="D349"/>
      <c r="E349"/>
      <c r="F349"/>
    </row>
    <row r="350" spans="1:6" ht="15">
      <c r="A350" s="123"/>
      <c r="B350" s="22"/>
      <c r="C350"/>
      <c r="D350"/>
      <c r="E350"/>
      <c r="F350"/>
    </row>
    <row r="351" spans="1:6" ht="15">
      <c r="A351" s="123"/>
      <c r="B351" s="22"/>
      <c r="C351"/>
      <c r="D351"/>
      <c r="E351"/>
      <c r="F351"/>
    </row>
    <row r="352" spans="1:6" ht="15">
      <c r="A352" s="123"/>
      <c r="B352" s="22"/>
      <c r="C352"/>
      <c r="D352"/>
      <c r="E352"/>
      <c r="F352"/>
    </row>
    <row r="353" spans="1:6" ht="15">
      <c r="A353" s="123"/>
      <c r="B353" s="22"/>
      <c r="C353"/>
      <c r="D353"/>
      <c r="E353"/>
      <c r="F353"/>
    </row>
    <row r="354" spans="1:6" ht="15">
      <c r="A354" s="123"/>
      <c r="B354" s="22"/>
      <c r="C354"/>
      <c r="D354"/>
      <c r="E354"/>
      <c r="F354"/>
    </row>
    <row r="355" spans="1:6" ht="15">
      <c r="A355" s="123"/>
      <c r="B355" s="22"/>
      <c r="C355"/>
      <c r="D355"/>
      <c r="E355"/>
      <c r="F355"/>
    </row>
    <row r="356" spans="1:6" ht="15">
      <c r="A356" s="123"/>
      <c r="B356" s="22"/>
      <c r="C356"/>
      <c r="D356"/>
      <c r="E356"/>
      <c r="F356"/>
    </row>
    <row r="357" spans="1:6" ht="15">
      <c r="A357" s="123"/>
      <c r="B357" s="22"/>
      <c r="C357"/>
      <c r="D357"/>
      <c r="E357"/>
      <c r="F357"/>
    </row>
    <row r="358" spans="1:6" ht="15">
      <c r="A358" s="123"/>
      <c r="B358" s="22"/>
      <c r="C358"/>
      <c r="D358"/>
      <c r="E358"/>
      <c r="F358"/>
    </row>
    <row r="359" spans="1:6" ht="15">
      <c r="A359" s="123"/>
      <c r="B359" s="22"/>
      <c r="C359"/>
      <c r="D359"/>
      <c r="E359"/>
      <c r="F359"/>
    </row>
    <row r="360" spans="1:6" ht="15">
      <c r="A360" s="123"/>
      <c r="B360" s="22"/>
      <c r="C360"/>
      <c r="D360"/>
      <c r="E360"/>
      <c r="F360"/>
    </row>
    <row r="361" spans="1:6" ht="15">
      <c r="A361" s="123"/>
      <c r="B361" s="22"/>
      <c r="C361"/>
      <c r="D361"/>
      <c r="E361"/>
      <c r="F361"/>
    </row>
    <row r="362" spans="1:6" ht="15">
      <c r="A362" s="124"/>
      <c r="B362" s="22"/>
      <c r="C362"/>
      <c r="D362"/>
      <c r="E362"/>
      <c r="F362"/>
    </row>
    <row r="363" spans="1:6" ht="15">
      <c r="A363" s="124"/>
      <c r="B363" s="22"/>
      <c r="C363"/>
      <c r="D363"/>
      <c r="E363"/>
      <c r="F363"/>
    </row>
    <row r="364" spans="1:6" ht="15">
      <c r="A364" s="124"/>
      <c r="B364" s="22"/>
      <c r="C364"/>
      <c r="D364"/>
      <c r="E364"/>
      <c r="F364"/>
    </row>
    <row r="365" spans="1:6" ht="15">
      <c r="A365" s="124"/>
      <c r="B365" s="22"/>
      <c r="C365"/>
      <c r="D365"/>
      <c r="E365"/>
      <c r="F365"/>
    </row>
    <row r="366" spans="1:6" ht="15">
      <c r="A366" s="124"/>
      <c r="B366" s="22"/>
      <c r="C366"/>
      <c r="D366"/>
      <c r="E366"/>
      <c r="F366"/>
    </row>
    <row r="367" spans="1:6" ht="15">
      <c r="A367" s="124"/>
      <c r="B367" s="22"/>
      <c r="C367"/>
      <c r="D367"/>
      <c r="E367"/>
      <c r="F367"/>
    </row>
    <row r="368" spans="1:6" ht="15">
      <c r="A368" s="124"/>
      <c r="B368" s="22"/>
      <c r="C368"/>
      <c r="D368"/>
      <c r="E368"/>
      <c r="F368"/>
    </row>
    <row r="369" spans="1:6" ht="15">
      <c r="A369" s="124"/>
      <c r="B369" s="22"/>
      <c r="C369"/>
      <c r="D369"/>
      <c r="E369"/>
      <c r="F369"/>
    </row>
    <row r="370" spans="1:6" ht="15">
      <c r="A370" s="124"/>
      <c r="B370" s="22"/>
      <c r="C370"/>
      <c r="D370"/>
      <c r="E370"/>
      <c r="F370"/>
    </row>
    <row r="371" spans="1:6" ht="15">
      <c r="A371" s="124"/>
      <c r="B371" s="22"/>
      <c r="C371"/>
      <c r="D371"/>
      <c r="E371"/>
      <c r="F371"/>
    </row>
    <row r="372" spans="1:6" ht="15">
      <c r="A372" s="124"/>
      <c r="B372" s="22"/>
      <c r="C372"/>
      <c r="D372"/>
      <c r="E372"/>
      <c r="F372"/>
    </row>
    <row r="373" spans="1:6" ht="15">
      <c r="A373" s="124"/>
      <c r="B373" s="22"/>
      <c r="C373"/>
      <c r="D373"/>
      <c r="E373"/>
      <c r="F373"/>
    </row>
    <row r="374" spans="1:6" ht="15">
      <c r="A374" s="124"/>
      <c r="B374" s="22"/>
      <c r="C374"/>
      <c r="D374"/>
      <c r="E374"/>
      <c r="F374"/>
    </row>
    <row r="375" spans="1:6" ht="15">
      <c r="A375" s="124"/>
      <c r="B375" s="22"/>
      <c r="C375"/>
      <c r="D375"/>
      <c r="E375"/>
      <c r="F375"/>
    </row>
    <row r="376" spans="1:6" ht="15">
      <c r="A376" s="124"/>
      <c r="B376" s="22"/>
      <c r="C376"/>
      <c r="D376"/>
      <c r="E376"/>
      <c r="F376"/>
    </row>
  </sheetData>
  <mergeCells count="138">
    <mergeCell ref="AG113:AO116"/>
    <mergeCell ref="AN75:AP75"/>
    <mergeCell ref="AN76:AP76"/>
    <mergeCell ref="AN77:AP77"/>
    <mergeCell ref="AN78:AP78"/>
    <mergeCell ref="AN79:AP79"/>
    <mergeCell ref="AN80:AP80"/>
    <mergeCell ref="AN81:AP81"/>
    <mergeCell ref="AN82:AP82"/>
    <mergeCell ref="AN83:AP83"/>
    <mergeCell ref="AF85:AT87"/>
    <mergeCell ref="AR75:AT75"/>
    <mergeCell ref="AR76:AT76"/>
    <mergeCell ref="AR77:AT77"/>
    <mergeCell ref="AR78:AT78"/>
    <mergeCell ref="AR79:AT79"/>
    <mergeCell ref="AR80:AT80"/>
    <mergeCell ref="AR81:AT81"/>
    <mergeCell ref="AR82:AT82"/>
    <mergeCell ref="AR83:AT83"/>
    <mergeCell ref="W113:AE116"/>
    <mergeCell ref="AG96:AO96"/>
    <mergeCell ref="AG97:AO97"/>
    <mergeCell ref="AG98:AO98"/>
    <mergeCell ref="AG99:AO99"/>
    <mergeCell ref="AG100:AO100"/>
    <mergeCell ref="AG101:AO101"/>
    <mergeCell ref="AG102:AO102"/>
    <mergeCell ref="AG103:AO103"/>
    <mergeCell ref="AG104:AO104"/>
    <mergeCell ref="AG105:AO105"/>
    <mergeCell ref="AG106:AO106"/>
    <mergeCell ref="AG107:AO107"/>
    <mergeCell ref="AG108:AO108"/>
    <mergeCell ref="AG109:AO109"/>
    <mergeCell ref="AG110:AO110"/>
    <mergeCell ref="AG111:AO111"/>
    <mergeCell ref="W107:AE107"/>
    <mergeCell ref="W108:AE108"/>
    <mergeCell ref="W109:AE109"/>
    <mergeCell ref="W110:AE110"/>
    <mergeCell ref="W111:AE111"/>
    <mergeCell ref="W102:AE102"/>
    <mergeCell ref="W103:AE103"/>
    <mergeCell ref="AC7:AF7"/>
    <mergeCell ref="AI7:AL7"/>
    <mergeCell ref="W100:AE100"/>
    <mergeCell ref="W101:AE101"/>
    <mergeCell ref="W96:AE96"/>
    <mergeCell ref="W97:AE97"/>
    <mergeCell ref="W98:AE98"/>
    <mergeCell ref="W99:AE99"/>
    <mergeCell ref="P44:X45"/>
    <mergeCell ref="P66:X67"/>
    <mergeCell ref="AF83:AG83"/>
    <mergeCell ref="AF78:AG78"/>
    <mergeCell ref="S90:AC90"/>
    <mergeCell ref="S75:AC75"/>
    <mergeCell ref="S85:AC85"/>
    <mergeCell ref="S86:AC86"/>
    <mergeCell ref="S87:AC87"/>
    <mergeCell ref="S88:AC88"/>
    <mergeCell ref="S89:AC89"/>
    <mergeCell ref="S76:AC76"/>
    <mergeCell ref="S77:AC77"/>
    <mergeCell ref="S78:AC78"/>
    <mergeCell ref="S79:AC79"/>
    <mergeCell ref="S81:AC81"/>
    <mergeCell ref="W104:AE104"/>
    <mergeCell ref="W105:AE105"/>
    <mergeCell ref="W106:AE106"/>
    <mergeCell ref="O1:AR2"/>
    <mergeCell ref="P4:T4"/>
    <mergeCell ref="V4:Z4"/>
    <mergeCell ref="AB4:AF4"/>
    <mergeCell ref="AH4:AL4"/>
    <mergeCell ref="Q5:T5"/>
    <mergeCell ref="W5:Z5"/>
    <mergeCell ref="Q75:R75"/>
    <mergeCell ref="Q76:R76"/>
    <mergeCell ref="Q77:R77"/>
    <mergeCell ref="O96:O116"/>
    <mergeCell ref="P113:U116"/>
    <mergeCell ref="Q78:R78"/>
    <mergeCell ref="Q79:R79"/>
    <mergeCell ref="Q80:R80"/>
    <mergeCell ref="Q81:R81"/>
    <mergeCell ref="Q82:R82"/>
    <mergeCell ref="AF79:AG79"/>
    <mergeCell ref="AF80:AG80"/>
    <mergeCell ref="AF81:AG81"/>
    <mergeCell ref="AF82:AG82"/>
    <mergeCell ref="A117:B117"/>
    <mergeCell ref="A8:B8"/>
    <mergeCell ref="A36:B36"/>
    <mergeCell ref="A47:B47"/>
    <mergeCell ref="A65:B65"/>
    <mergeCell ref="A73:B73"/>
    <mergeCell ref="AC5:AF5"/>
    <mergeCell ref="AI5:AL5"/>
    <mergeCell ref="Q6:T6"/>
    <mergeCell ref="W6:Z6"/>
    <mergeCell ref="AC6:AF6"/>
    <mergeCell ref="AI6:AL6"/>
    <mergeCell ref="Q7:T7"/>
    <mergeCell ref="W7:Z7"/>
    <mergeCell ref="S80:AC80"/>
    <mergeCell ref="AH77:AM77"/>
    <mergeCell ref="Q88:R88"/>
    <mergeCell ref="Q89:R89"/>
    <mergeCell ref="Q90:R90"/>
    <mergeCell ref="Q83:R83"/>
    <mergeCell ref="Q84:R84"/>
    <mergeCell ref="Q85:R85"/>
    <mergeCell ref="Q86:R86"/>
    <mergeCell ref="Q87:R87"/>
    <mergeCell ref="AA66:AJ67"/>
    <mergeCell ref="P27:X27"/>
    <mergeCell ref="AA27:AJ27"/>
    <mergeCell ref="AA44:AJ45"/>
    <mergeCell ref="O29:O71"/>
    <mergeCell ref="O75:O94"/>
    <mergeCell ref="O11:O27"/>
    <mergeCell ref="AH75:AM75"/>
    <mergeCell ref="P92:AD94"/>
    <mergeCell ref="AF75:AG75"/>
    <mergeCell ref="AF76:AG76"/>
    <mergeCell ref="AF77:AG77"/>
    <mergeCell ref="S82:AC82"/>
    <mergeCell ref="S83:AC83"/>
    <mergeCell ref="S84:AC84"/>
    <mergeCell ref="AH79:AM79"/>
    <mergeCell ref="AH78:AM78"/>
    <mergeCell ref="AH76:AM76"/>
    <mergeCell ref="AH80:AM80"/>
    <mergeCell ref="AH81:AM81"/>
    <mergeCell ref="AH83:AM83"/>
    <mergeCell ref="AH82:AM82"/>
  </mergeCells>
  <conditionalFormatting sqref="A91:B115">
    <cfRule type="expression" dxfId="27" priority="46">
      <formula>AND(ISNUMBER($AA91),$AA91&gt;=0.75)</formula>
    </cfRule>
    <cfRule type="expression" dxfId="26" priority="47">
      <formula>AND(ISNUMBER($AA91),$AA91&gt;0.5,$AA91&lt;0.75)</formula>
    </cfRule>
    <cfRule type="expression" dxfId="25" priority="48">
      <formula>AND(ISNUMBER($AA91),$AA91&gt;=0.25,$AA91&lt;=0.5)</formula>
    </cfRule>
    <cfRule type="expression" dxfId="24" priority="49">
      <formula>AND(ISNUMBER($AA91),$AA91&lt;0.25)</formula>
    </cfRule>
  </conditionalFormatting>
  <conditionalFormatting sqref="E77 A77:B90">
    <cfRule type="expression" dxfId="23" priority="81">
      <formula>AND(ISNUMBER(#REF!),#REF!&gt;=0.75)</formula>
    </cfRule>
    <cfRule type="expression" dxfId="22" priority="82">
      <formula>AND(ISNUMBER(#REF!),#REF!&gt;0.5,#REF!&lt;0.75)</formula>
    </cfRule>
    <cfRule type="expression" dxfId="21" priority="83">
      <formula>AND(ISNUMBER(#REF!),#REF!&gt;=0.25,#REF!&lt;=0.5)</formula>
    </cfRule>
    <cfRule type="expression" dxfId="20" priority="84">
      <formula>AND(ISNUMBER(#REF!),#REF!&lt;0.25)</formula>
    </cfRule>
  </conditionalFormatting>
  <conditionalFormatting sqref="AD76:AD90">
    <cfRule type="expression" dxfId="19" priority="1">
      <formula>$B258&gt;=75%</formula>
    </cfRule>
    <cfRule type="expression" dxfId="18" priority="2">
      <formula>AND($B258&gt;=50%,$B258&lt;75%)</formula>
    </cfRule>
    <cfRule type="expression" dxfId="17" priority="3">
      <formula>AND($B258&gt;=25%,$B258&lt;50%)</formula>
    </cfRule>
    <cfRule type="expression" dxfId="16" priority="4">
      <formula>$B258&lt;25%</formula>
    </cfRule>
  </conditionalFormatting>
  <conditionalFormatting sqref="AH75">
    <cfRule type="expression" dxfId="15" priority="17">
      <formula>$AD75="GOED"</formula>
    </cfRule>
    <cfRule type="expression" dxfId="14" priority="18">
      <formula>$AD75="LAAG"</formula>
    </cfRule>
    <cfRule type="expression" dxfId="13" priority="19">
      <formula>$AD75="MIDDEL"</formula>
    </cfRule>
    <cfRule type="expression" dxfId="12" priority="20">
      <formula>$AD75="HOOG"</formula>
    </cfRule>
  </conditionalFormatting>
  <conditionalFormatting sqref="AQ75">
    <cfRule type="expression" dxfId="11" priority="5">
      <formula>$AD75="GOED"</formula>
    </cfRule>
    <cfRule type="expression" dxfId="10" priority="6">
      <formula>$AD75="LAAG"</formula>
    </cfRule>
    <cfRule type="expression" dxfId="9" priority="7">
      <formula>$AD75="MIDDEL"</formula>
    </cfRule>
    <cfRule type="expression" dxfId="8" priority="8">
      <formula>$AD75="HOOG"</formula>
    </cfRule>
  </conditionalFormatting>
  <pageMargins left="0.7" right="0.7" top="0.75" bottom="0.75"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91105-8E34-4227-8F36-45D22FA9CEE4}">
  <dimension ref="A3:O18"/>
  <sheetViews>
    <sheetView zoomScale="65" zoomScaleNormal="65" workbookViewId="0">
      <pane ySplit="3" topLeftCell="A4" activePane="bottomLeft" state="frozen"/>
      <selection pane="bottomLeft" activeCell="F25" sqref="F25:F26"/>
    </sheetView>
  </sheetViews>
  <sheetFormatPr defaultColWidth="8.7109375" defaultRowHeight="14.25"/>
  <cols>
    <col min="1" max="1" width="27.85546875" style="91" customWidth="1"/>
    <col min="2" max="2" width="33.28515625" style="92" customWidth="1"/>
    <col min="3" max="3" width="30.140625" style="92" customWidth="1"/>
    <col min="4" max="4" width="20.85546875" style="92" customWidth="1"/>
    <col min="5" max="5" width="26.7109375" style="92" customWidth="1"/>
    <col min="6" max="6" width="21.5703125" style="92" customWidth="1"/>
    <col min="7" max="7" width="30.85546875" style="92" customWidth="1"/>
    <col min="8" max="8" width="27.7109375" style="92" customWidth="1"/>
    <col min="9" max="9" width="35.140625" style="92" customWidth="1"/>
    <col min="10" max="10" width="29" style="93" customWidth="1"/>
    <col min="11" max="16384" width="8.7109375" style="92"/>
  </cols>
  <sheetData>
    <row r="3" spans="1:15" s="91" customFormat="1" ht="28.5">
      <c r="A3" s="96" t="s">
        <v>87</v>
      </c>
      <c r="B3" s="96" t="s">
        <v>413</v>
      </c>
      <c r="C3" s="96" t="s">
        <v>808</v>
      </c>
      <c r="D3" s="96" t="s">
        <v>774</v>
      </c>
      <c r="E3" s="96" t="s">
        <v>773</v>
      </c>
      <c r="F3" s="96" t="s">
        <v>772</v>
      </c>
      <c r="G3" s="97" t="s">
        <v>775</v>
      </c>
      <c r="H3" s="97" t="s">
        <v>776</v>
      </c>
      <c r="I3" s="97" t="s">
        <v>777</v>
      </c>
      <c r="J3" s="98" t="s">
        <v>778</v>
      </c>
      <c r="L3" s="94"/>
      <c r="M3" s="94"/>
      <c r="N3" s="443" t="s">
        <v>77</v>
      </c>
      <c r="O3" s="443"/>
    </row>
    <row r="4" spans="1:15" s="95" customFormat="1" ht="28.5">
      <c r="A4" s="99" t="s">
        <v>211</v>
      </c>
      <c r="B4" s="118" t="s">
        <v>800</v>
      </c>
      <c r="C4" s="102" t="s">
        <v>94</v>
      </c>
      <c r="D4" s="103" t="s">
        <v>779</v>
      </c>
      <c r="E4" s="104" t="s">
        <v>779</v>
      </c>
      <c r="F4" s="104" t="s">
        <v>779</v>
      </c>
      <c r="G4" s="102" t="s">
        <v>94</v>
      </c>
      <c r="H4" s="104" t="s">
        <v>779</v>
      </c>
      <c r="I4" s="102" t="s">
        <v>94</v>
      </c>
      <c r="J4" s="104" t="s">
        <v>779</v>
      </c>
      <c r="K4" s="93"/>
      <c r="L4" s="93"/>
      <c r="M4" s="93"/>
      <c r="N4" s="121" t="s">
        <v>779</v>
      </c>
      <c r="O4" s="111" t="s">
        <v>782</v>
      </c>
    </row>
    <row r="5" spans="1:15" ht="42.75">
      <c r="A5" s="100" t="s">
        <v>214</v>
      </c>
      <c r="B5" s="119" t="s">
        <v>799</v>
      </c>
      <c r="C5" s="106" t="s">
        <v>779</v>
      </c>
      <c r="D5" s="107" t="s">
        <v>94</v>
      </c>
      <c r="E5" s="107" t="s">
        <v>94</v>
      </c>
      <c r="F5" s="107" t="s">
        <v>94</v>
      </c>
      <c r="G5" s="107" t="s">
        <v>94</v>
      </c>
      <c r="H5" s="106" t="s">
        <v>779</v>
      </c>
      <c r="I5" s="207" t="s">
        <v>94</v>
      </c>
      <c r="J5" s="110" t="s">
        <v>780</v>
      </c>
      <c r="N5" s="121" t="s">
        <v>94</v>
      </c>
      <c r="O5" s="112" t="s">
        <v>783</v>
      </c>
    </row>
    <row r="6" spans="1:15" ht="28.5">
      <c r="A6" s="99" t="s">
        <v>93</v>
      </c>
      <c r="B6" s="120" t="s">
        <v>786</v>
      </c>
      <c r="C6" s="104" t="s">
        <v>779</v>
      </c>
      <c r="D6" s="104" t="s">
        <v>779</v>
      </c>
      <c r="E6" s="102" t="s">
        <v>94</v>
      </c>
      <c r="F6" s="102" t="s">
        <v>94</v>
      </c>
      <c r="G6" s="102" t="s">
        <v>94</v>
      </c>
      <c r="H6" s="104" t="s">
        <v>779</v>
      </c>
      <c r="I6" s="108" t="s">
        <v>94</v>
      </c>
      <c r="J6" s="102" t="s">
        <v>94</v>
      </c>
      <c r="N6" s="121" t="s">
        <v>780</v>
      </c>
      <c r="O6" s="113" t="s">
        <v>784</v>
      </c>
    </row>
    <row r="7" spans="1:15" ht="39.950000000000003" customHeight="1">
      <c r="A7" s="99" t="s">
        <v>316</v>
      </c>
      <c r="B7" s="120" t="s">
        <v>787</v>
      </c>
      <c r="C7" s="102" t="s">
        <v>94</v>
      </c>
      <c r="D7" s="104" t="s">
        <v>779</v>
      </c>
      <c r="E7" s="104" t="s">
        <v>779</v>
      </c>
      <c r="F7" s="102" t="s">
        <v>94</v>
      </c>
      <c r="G7" s="102" t="s">
        <v>94</v>
      </c>
      <c r="H7" s="102" t="s">
        <v>94</v>
      </c>
      <c r="I7" s="105" t="s">
        <v>779</v>
      </c>
      <c r="J7" s="102" t="s">
        <v>94</v>
      </c>
      <c r="N7" s="121" t="s">
        <v>781</v>
      </c>
      <c r="O7" s="114" t="s">
        <v>785</v>
      </c>
    </row>
    <row r="8" spans="1:15" ht="42.95" customHeight="1">
      <c r="A8" s="99" t="s">
        <v>97</v>
      </c>
      <c r="B8" s="120" t="s">
        <v>788</v>
      </c>
      <c r="C8" s="104" t="s">
        <v>779</v>
      </c>
      <c r="D8" s="104" t="s">
        <v>779</v>
      </c>
      <c r="E8" s="104" t="s">
        <v>779</v>
      </c>
      <c r="F8" s="102" t="s">
        <v>94</v>
      </c>
      <c r="G8" s="102" t="s">
        <v>94</v>
      </c>
      <c r="H8" s="104" t="s">
        <v>779</v>
      </c>
      <c r="I8" s="105" t="s">
        <v>779</v>
      </c>
      <c r="J8" s="104" t="s">
        <v>779</v>
      </c>
    </row>
    <row r="9" spans="1:15" ht="28.5">
      <c r="A9" s="99" t="s">
        <v>122</v>
      </c>
      <c r="B9" s="120" t="s">
        <v>789</v>
      </c>
      <c r="C9" s="104" t="s">
        <v>779</v>
      </c>
      <c r="D9" s="104" t="s">
        <v>779</v>
      </c>
      <c r="E9" s="104" t="s">
        <v>779</v>
      </c>
      <c r="F9" s="102" t="s">
        <v>94</v>
      </c>
      <c r="G9" s="104" t="s">
        <v>779</v>
      </c>
      <c r="H9" s="104" t="s">
        <v>779</v>
      </c>
      <c r="I9" s="108" t="s">
        <v>94</v>
      </c>
      <c r="J9" s="102" t="s">
        <v>94</v>
      </c>
    </row>
    <row r="10" spans="1:15" ht="28.5">
      <c r="A10" s="99" t="s">
        <v>129</v>
      </c>
      <c r="B10" s="120" t="s">
        <v>790</v>
      </c>
      <c r="C10" s="104" t="s">
        <v>779</v>
      </c>
      <c r="D10" s="104" t="s">
        <v>779</v>
      </c>
      <c r="E10" s="104" t="s">
        <v>779</v>
      </c>
      <c r="F10" s="104" t="s">
        <v>779</v>
      </c>
      <c r="G10" s="104" t="s">
        <v>779</v>
      </c>
      <c r="H10" s="104" t="s">
        <v>779</v>
      </c>
      <c r="I10" s="108" t="s">
        <v>94</v>
      </c>
      <c r="J10" s="102" t="s">
        <v>94</v>
      </c>
    </row>
    <row r="11" spans="1:15" ht="28.5">
      <c r="A11" s="99" t="s">
        <v>296</v>
      </c>
      <c r="B11" s="120" t="s">
        <v>791</v>
      </c>
      <c r="C11" s="102" t="s">
        <v>94</v>
      </c>
      <c r="D11" s="104" t="s">
        <v>779</v>
      </c>
      <c r="E11" s="104" t="s">
        <v>779</v>
      </c>
      <c r="F11" s="102" t="s">
        <v>94</v>
      </c>
      <c r="G11" s="109" t="s">
        <v>94</v>
      </c>
      <c r="H11" s="102" t="s">
        <v>94</v>
      </c>
      <c r="I11" s="105" t="s">
        <v>779</v>
      </c>
      <c r="J11" s="104" t="s">
        <v>779</v>
      </c>
    </row>
    <row r="12" spans="1:15" ht="28.5">
      <c r="A12" s="101" t="s">
        <v>302</v>
      </c>
      <c r="B12" s="120" t="s">
        <v>792</v>
      </c>
      <c r="C12" s="102" t="s">
        <v>94</v>
      </c>
      <c r="D12" s="102" t="s">
        <v>94</v>
      </c>
      <c r="E12" s="102" t="s">
        <v>94</v>
      </c>
      <c r="F12" s="102" t="s">
        <v>94</v>
      </c>
      <c r="G12" s="104" t="s">
        <v>779</v>
      </c>
      <c r="H12" s="104" t="s">
        <v>779</v>
      </c>
      <c r="I12" s="108" t="s">
        <v>94</v>
      </c>
      <c r="J12" s="102" t="s">
        <v>94</v>
      </c>
    </row>
    <row r="13" spans="1:15" ht="28.5">
      <c r="A13" s="99" t="s">
        <v>133</v>
      </c>
      <c r="B13" s="120" t="s">
        <v>793</v>
      </c>
      <c r="C13" s="104" t="s">
        <v>779</v>
      </c>
      <c r="D13" s="104" t="s">
        <v>779</v>
      </c>
      <c r="E13" s="104" t="s">
        <v>779</v>
      </c>
      <c r="F13" s="104" t="s">
        <v>779</v>
      </c>
      <c r="G13" s="104" t="s">
        <v>779</v>
      </c>
      <c r="H13" s="104" t="s">
        <v>779</v>
      </c>
      <c r="I13" s="108" t="s">
        <v>94</v>
      </c>
      <c r="J13" s="104" t="s">
        <v>779</v>
      </c>
    </row>
    <row r="14" spans="1:15" ht="28.5">
      <c r="A14" s="99" t="s">
        <v>263</v>
      </c>
      <c r="B14" s="120" t="s">
        <v>794</v>
      </c>
      <c r="C14" s="104" t="s">
        <v>779</v>
      </c>
      <c r="D14" s="104" t="s">
        <v>779</v>
      </c>
      <c r="E14" s="104" t="s">
        <v>779</v>
      </c>
      <c r="F14" s="102" t="s">
        <v>94</v>
      </c>
      <c r="G14" s="104" t="s">
        <v>779</v>
      </c>
      <c r="H14" s="104" t="s">
        <v>779</v>
      </c>
      <c r="I14" s="102" t="s">
        <v>94</v>
      </c>
      <c r="J14" s="104" t="s">
        <v>779</v>
      </c>
    </row>
    <row r="15" spans="1:15" ht="28.5">
      <c r="A15" s="99" t="s">
        <v>137</v>
      </c>
      <c r="B15" s="120" t="s">
        <v>795</v>
      </c>
      <c r="C15" s="104" t="s">
        <v>779</v>
      </c>
      <c r="D15" s="104" t="s">
        <v>779</v>
      </c>
      <c r="E15" s="104" t="s">
        <v>779</v>
      </c>
      <c r="F15" s="104" t="s">
        <v>779</v>
      </c>
      <c r="G15" s="104" t="s">
        <v>779</v>
      </c>
      <c r="H15" s="104" t="s">
        <v>779</v>
      </c>
      <c r="I15" s="102" t="s">
        <v>94</v>
      </c>
      <c r="J15" s="104" t="s">
        <v>779</v>
      </c>
    </row>
    <row r="16" spans="1:15" ht="28.5">
      <c r="A16" s="99" t="s">
        <v>169</v>
      </c>
      <c r="B16" s="120" t="s">
        <v>796</v>
      </c>
      <c r="C16" s="104" t="s">
        <v>779</v>
      </c>
      <c r="D16" s="104" t="s">
        <v>779</v>
      </c>
      <c r="E16" s="104" t="s">
        <v>779</v>
      </c>
      <c r="F16" s="104" t="s">
        <v>779</v>
      </c>
      <c r="G16" s="102" t="s">
        <v>94</v>
      </c>
      <c r="H16" s="104" t="s">
        <v>779</v>
      </c>
      <c r="I16" s="104" t="s">
        <v>779</v>
      </c>
      <c r="J16" s="104" t="s">
        <v>779</v>
      </c>
    </row>
    <row r="17" spans="1:10" ht="28.5">
      <c r="A17" s="99" t="s">
        <v>176</v>
      </c>
      <c r="B17" s="120" t="s">
        <v>797</v>
      </c>
      <c r="C17" s="104" t="s">
        <v>779</v>
      </c>
      <c r="D17" s="104" t="s">
        <v>779</v>
      </c>
      <c r="E17" s="104" t="s">
        <v>779</v>
      </c>
      <c r="F17" s="104" t="s">
        <v>779</v>
      </c>
      <c r="G17" s="102" t="s">
        <v>94</v>
      </c>
      <c r="H17" s="104" t="s">
        <v>779</v>
      </c>
      <c r="I17" s="104" t="s">
        <v>779</v>
      </c>
      <c r="J17" s="104" t="s">
        <v>779</v>
      </c>
    </row>
    <row r="18" spans="1:10" ht="28.5">
      <c r="A18" s="99" t="s">
        <v>183</v>
      </c>
      <c r="B18" s="120" t="s">
        <v>798</v>
      </c>
      <c r="C18" s="104" t="s">
        <v>779</v>
      </c>
      <c r="D18" s="104" t="s">
        <v>779</v>
      </c>
      <c r="E18" s="102" t="s">
        <v>94</v>
      </c>
      <c r="F18" s="102" t="s">
        <v>94</v>
      </c>
      <c r="G18" s="102" t="s">
        <v>94</v>
      </c>
      <c r="H18" s="104" t="s">
        <v>779</v>
      </c>
      <c r="I18" s="105" t="s">
        <v>779</v>
      </c>
      <c r="J18" s="102" t="s">
        <v>94</v>
      </c>
    </row>
  </sheetData>
  <mergeCells count="1">
    <mergeCell ref="N3:O3"/>
  </mergeCells>
  <conditionalFormatting sqref="A4:J18">
    <cfRule type="expression" dxfId="7" priority="45">
      <formula>AND(ISNUMBER(#REF!),#REF!&gt;=0.75)</formula>
    </cfRule>
    <cfRule type="expression" dxfId="6" priority="46">
      <formula>AND(ISNUMBER(#REF!),#REF!&gt;0.5,#REF!&lt;0.75)</formula>
    </cfRule>
    <cfRule type="expression" dxfId="5" priority="47">
      <formula>AND(ISNUMBER(#REF!),#REF!&gt;=0.25,#REF!&lt;=0.5)</formula>
    </cfRule>
    <cfRule type="expression" dxfId="4" priority="48">
      <formula>AND(ISNUMBER(#REF!),#REF!&lt;0.25)</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FE7B0-70EA-4349-8B22-B5FD88C6753C}">
  <dimension ref="A1:X24"/>
  <sheetViews>
    <sheetView zoomScale="48" zoomScaleNormal="48" workbookViewId="0">
      <pane ySplit="1" topLeftCell="A12" activePane="bottomLeft" state="frozen"/>
      <selection pane="bottomLeft" activeCell="F7" sqref="F7"/>
    </sheetView>
  </sheetViews>
  <sheetFormatPr defaultColWidth="8.7109375" defaultRowHeight="14.25"/>
  <cols>
    <col min="1" max="1" width="27.85546875" style="24" customWidth="1"/>
    <col min="2" max="2" width="25.42578125" style="29" customWidth="1"/>
    <col min="3" max="3" width="19.85546875" style="29" customWidth="1"/>
    <col min="4" max="4" width="21.42578125" style="29" customWidth="1"/>
    <col min="5" max="5" width="19.85546875" style="29" customWidth="1"/>
    <col min="6" max="6" width="20.85546875" style="29" customWidth="1"/>
    <col min="7" max="7" width="24.42578125" style="29" customWidth="1"/>
    <col min="8" max="8" width="19.140625" style="29" customWidth="1"/>
    <col min="9" max="9" width="21.5703125" style="29" customWidth="1"/>
    <col min="10" max="10" width="23.85546875" style="29" customWidth="1"/>
    <col min="11" max="11" width="30.85546875" style="29" customWidth="1"/>
    <col min="12" max="12" width="24.28515625" style="29" customWidth="1"/>
    <col min="13" max="13" width="27.7109375" style="29" customWidth="1"/>
    <col min="14" max="14" width="19.85546875" style="29" customWidth="1"/>
    <col min="15" max="15" width="36" style="29" customWidth="1"/>
    <col min="16" max="16" width="35.140625" style="29" customWidth="1"/>
    <col min="17" max="17" width="29" style="29" customWidth="1"/>
    <col min="18" max="18" width="33.28515625" style="29" customWidth="1"/>
    <col min="19" max="19" width="32.42578125" style="79" hidden="1" customWidth="1"/>
    <col min="20" max="16384" width="8.7109375" style="29"/>
  </cols>
  <sheetData>
    <row r="1" spans="1:24" s="24" customFormat="1" ht="137.25">
      <c r="A1" s="35" t="s">
        <v>87</v>
      </c>
      <c r="B1" s="36" t="s">
        <v>413</v>
      </c>
      <c r="C1" s="37" t="s">
        <v>414</v>
      </c>
      <c r="D1" s="37" t="s">
        <v>415</v>
      </c>
      <c r="E1" s="37" t="s">
        <v>416</v>
      </c>
      <c r="F1" s="37" t="s">
        <v>417</v>
      </c>
      <c r="G1" s="37" t="s">
        <v>418</v>
      </c>
      <c r="H1" s="37" t="s">
        <v>419</v>
      </c>
      <c r="I1" s="37" t="s">
        <v>420</v>
      </c>
      <c r="J1" s="37" t="s">
        <v>421</v>
      </c>
      <c r="K1" s="38" t="s">
        <v>422</v>
      </c>
      <c r="L1" s="38" t="s">
        <v>423</v>
      </c>
      <c r="M1" s="38" t="s">
        <v>424</v>
      </c>
      <c r="N1" s="38" t="s">
        <v>425</v>
      </c>
      <c r="O1" s="39" t="s">
        <v>426</v>
      </c>
      <c r="P1" s="38" t="s">
        <v>427</v>
      </c>
      <c r="Q1" s="89" t="s">
        <v>802</v>
      </c>
      <c r="R1" s="90" t="s">
        <v>801</v>
      </c>
      <c r="S1" s="77" t="s">
        <v>680</v>
      </c>
      <c r="T1" s="23"/>
      <c r="U1" s="23"/>
      <c r="V1" s="23"/>
      <c r="W1" s="23"/>
      <c r="X1" s="23"/>
    </row>
    <row r="2" spans="1:24" s="30" customFormat="1" ht="213.75">
      <c r="A2" s="25" t="s">
        <v>211</v>
      </c>
      <c r="B2" s="26" t="s">
        <v>428</v>
      </c>
      <c r="C2" s="27" t="s">
        <v>429</v>
      </c>
      <c r="D2" s="27"/>
      <c r="E2" s="27" t="s">
        <v>430</v>
      </c>
      <c r="F2" s="28" t="s">
        <v>431</v>
      </c>
      <c r="G2" s="27" t="s">
        <v>432</v>
      </c>
      <c r="H2" s="27" t="s">
        <v>433</v>
      </c>
      <c r="I2" s="27" t="s">
        <v>434</v>
      </c>
      <c r="J2" s="27" t="s">
        <v>435</v>
      </c>
      <c r="K2" s="27" t="s">
        <v>436</v>
      </c>
      <c r="L2" s="27" t="s">
        <v>437</v>
      </c>
      <c r="M2" s="27" t="s">
        <v>438</v>
      </c>
      <c r="N2" s="27" t="s">
        <v>439</v>
      </c>
      <c r="O2" s="27" t="s">
        <v>440</v>
      </c>
      <c r="P2" s="27" t="s">
        <v>441</v>
      </c>
      <c r="Q2" s="27" t="s">
        <v>442</v>
      </c>
      <c r="R2" s="34" t="s">
        <v>443</v>
      </c>
      <c r="S2" s="78">
        <f>_xlfn.XLOOKUP(A2,'4. Dashboard'!$A$50:$A$64,'4. Dashboard'!$B$50:$B$64,"")</f>
        <v>0.2</v>
      </c>
      <c r="T2" s="29"/>
      <c r="U2" s="29"/>
      <c r="V2" s="29"/>
      <c r="W2" s="29"/>
      <c r="X2" s="29"/>
    </row>
    <row r="3" spans="1:24" ht="156.75">
      <c r="A3" s="25" t="s">
        <v>214</v>
      </c>
      <c r="B3" s="26" t="s">
        <v>444</v>
      </c>
      <c r="C3" s="27" t="s">
        <v>445</v>
      </c>
      <c r="D3" s="27" t="s">
        <v>446</v>
      </c>
      <c r="E3" s="27" t="s">
        <v>447</v>
      </c>
      <c r="F3" s="27" t="s">
        <v>448</v>
      </c>
      <c r="G3" s="27" t="s">
        <v>449</v>
      </c>
      <c r="H3" s="27" t="s">
        <v>450</v>
      </c>
      <c r="I3" s="27" t="s">
        <v>451</v>
      </c>
      <c r="J3" s="27" t="s">
        <v>452</v>
      </c>
      <c r="K3" s="27" t="s">
        <v>453</v>
      </c>
      <c r="L3" s="27" t="s">
        <v>454</v>
      </c>
      <c r="M3" s="27" t="s">
        <v>455</v>
      </c>
      <c r="N3" s="27" t="s">
        <v>456</v>
      </c>
      <c r="O3" s="27" t="s">
        <v>457</v>
      </c>
      <c r="P3" s="27" t="s">
        <v>458</v>
      </c>
      <c r="Q3" s="31" t="s">
        <v>459</v>
      </c>
      <c r="R3" s="34" t="s">
        <v>460</v>
      </c>
      <c r="S3" s="78">
        <f>_xlfn.XLOOKUP(A3,'4. Dashboard'!$A$50:$A$64,'4. Dashboard'!$B$50:$B$64,"")</f>
        <v>0.2</v>
      </c>
    </row>
    <row r="4" spans="1:24" ht="156.75">
      <c r="A4" s="25" t="s">
        <v>93</v>
      </c>
      <c r="B4" s="26" t="s">
        <v>461</v>
      </c>
      <c r="C4" s="27" t="s">
        <v>462</v>
      </c>
      <c r="D4" s="27" t="s">
        <v>463</v>
      </c>
      <c r="E4" s="27" t="s">
        <v>464</v>
      </c>
      <c r="F4" s="27" t="s">
        <v>465</v>
      </c>
      <c r="G4" s="27" t="s">
        <v>466</v>
      </c>
      <c r="H4" s="27" t="s">
        <v>467</v>
      </c>
      <c r="I4" s="27" t="s">
        <v>468</v>
      </c>
      <c r="J4" s="27" t="s">
        <v>469</v>
      </c>
      <c r="K4" s="27" t="s">
        <v>470</v>
      </c>
      <c r="L4" s="27" t="s">
        <v>471</v>
      </c>
      <c r="M4" s="27" t="s">
        <v>472</v>
      </c>
      <c r="N4" s="27" t="s">
        <v>473</v>
      </c>
      <c r="O4" s="27" t="s">
        <v>474</v>
      </c>
      <c r="P4" s="27" t="s">
        <v>475</v>
      </c>
      <c r="Q4" s="27" t="s">
        <v>476</v>
      </c>
      <c r="R4" s="34" t="s">
        <v>477</v>
      </c>
      <c r="S4" s="78">
        <f>_xlfn.XLOOKUP(A4,'4. Dashboard'!$A$50:$A$64,'4. Dashboard'!$B$50:$B$64,"")</f>
        <v>0.2</v>
      </c>
    </row>
    <row r="5" spans="1:24" ht="128.25">
      <c r="A5" s="25" t="s">
        <v>316</v>
      </c>
      <c r="B5" s="26" t="s">
        <v>478</v>
      </c>
      <c r="C5" s="27" t="s">
        <v>479</v>
      </c>
      <c r="D5" s="27" t="s">
        <v>480</v>
      </c>
      <c r="E5" s="27" t="s">
        <v>481</v>
      </c>
      <c r="F5" s="27" t="s">
        <v>482</v>
      </c>
      <c r="G5" s="27" t="s">
        <v>483</v>
      </c>
      <c r="H5" s="27" t="s">
        <v>484</v>
      </c>
      <c r="I5" s="27" t="s">
        <v>485</v>
      </c>
      <c r="J5" s="27" t="s">
        <v>486</v>
      </c>
      <c r="K5" s="27" t="s">
        <v>487</v>
      </c>
      <c r="L5" s="27" t="s">
        <v>488</v>
      </c>
      <c r="M5" s="27" t="s">
        <v>489</v>
      </c>
      <c r="N5" s="27" t="s">
        <v>490</v>
      </c>
      <c r="O5" s="27" t="s">
        <v>491</v>
      </c>
      <c r="P5" s="27" t="s">
        <v>492</v>
      </c>
      <c r="Q5" s="27" t="s">
        <v>493</v>
      </c>
      <c r="R5" s="34" t="s">
        <v>494</v>
      </c>
      <c r="S5" s="78">
        <f>_xlfn.XLOOKUP(A5,'4. Dashboard'!$A$50:$A$64,'4. Dashboard'!$B$50:$B$64,"")</f>
        <v>0.2</v>
      </c>
    </row>
    <row r="6" spans="1:24" ht="199.5">
      <c r="A6" s="25" t="s">
        <v>97</v>
      </c>
      <c r="B6" s="26" t="s">
        <v>495</v>
      </c>
      <c r="C6" s="27" t="s">
        <v>496</v>
      </c>
      <c r="D6" s="27" t="s">
        <v>497</v>
      </c>
      <c r="E6" s="27" t="s">
        <v>498</v>
      </c>
      <c r="F6" s="27" t="s">
        <v>499</v>
      </c>
      <c r="G6" s="27" t="s">
        <v>500</v>
      </c>
      <c r="H6" s="27" t="s">
        <v>501</v>
      </c>
      <c r="I6" s="27" t="s">
        <v>502</v>
      </c>
      <c r="J6" s="27" t="s">
        <v>503</v>
      </c>
      <c r="K6" s="27" t="s">
        <v>504</v>
      </c>
      <c r="L6" s="27" t="s">
        <v>505</v>
      </c>
      <c r="M6" s="27" t="s">
        <v>506</v>
      </c>
      <c r="N6" s="27" t="s">
        <v>507</v>
      </c>
      <c r="O6" s="27" t="s">
        <v>508</v>
      </c>
      <c r="P6" s="27" t="s">
        <v>509</v>
      </c>
      <c r="Q6" s="27" t="s">
        <v>510</v>
      </c>
      <c r="R6" s="34" t="s">
        <v>511</v>
      </c>
      <c r="S6" s="78">
        <f>_xlfn.XLOOKUP(A6,'4. Dashboard'!$A$50:$A$64,'4. Dashboard'!$B$50:$B$64,"")</f>
        <v>0.2</v>
      </c>
    </row>
    <row r="7" spans="1:24" ht="171">
      <c r="A7" s="25" t="s">
        <v>122</v>
      </c>
      <c r="B7" s="26" t="s">
        <v>512</v>
      </c>
      <c r="C7" s="27" t="s">
        <v>513</v>
      </c>
      <c r="D7" s="27" t="s">
        <v>514</v>
      </c>
      <c r="E7" s="27" t="s">
        <v>515</v>
      </c>
      <c r="F7" s="27" t="s">
        <v>516</v>
      </c>
      <c r="G7" s="27" t="s">
        <v>517</v>
      </c>
      <c r="H7" s="27" t="s">
        <v>518</v>
      </c>
      <c r="I7" s="27" t="s">
        <v>519</v>
      </c>
      <c r="J7" s="27" t="s">
        <v>520</v>
      </c>
      <c r="K7" s="27" t="s">
        <v>521</v>
      </c>
      <c r="L7" s="27" t="s">
        <v>522</v>
      </c>
      <c r="M7" s="27" t="s">
        <v>523</v>
      </c>
      <c r="N7" s="27" t="s">
        <v>524</v>
      </c>
      <c r="O7" s="27" t="s">
        <v>525</v>
      </c>
      <c r="P7" s="27" t="s">
        <v>526</v>
      </c>
      <c r="Q7" s="27" t="s">
        <v>527</v>
      </c>
      <c r="R7" s="34" t="s">
        <v>528</v>
      </c>
      <c r="S7" s="78">
        <f>_xlfn.XLOOKUP(A7,'4. Dashboard'!$A$50:$A$64,'4. Dashboard'!$B$50:$B$64,"")</f>
        <v>0.2</v>
      </c>
    </row>
    <row r="8" spans="1:24" ht="185.25">
      <c r="A8" s="25" t="s">
        <v>129</v>
      </c>
      <c r="B8" s="26" t="s">
        <v>529</v>
      </c>
      <c r="C8" s="27" t="s">
        <v>530</v>
      </c>
      <c r="D8" s="27" t="s">
        <v>531</v>
      </c>
      <c r="E8" s="27" t="s">
        <v>532</v>
      </c>
      <c r="F8" s="27" t="s">
        <v>533</v>
      </c>
      <c r="G8" s="27" t="s">
        <v>534</v>
      </c>
      <c r="H8" s="27" t="s">
        <v>535</v>
      </c>
      <c r="I8" s="27" t="s">
        <v>536</v>
      </c>
      <c r="J8" s="27" t="s">
        <v>537</v>
      </c>
      <c r="K8" s="27" t="s">
        <v>538</v>
      </c>
      <c r="L8" s="27" t="s">
        <v>539</v>
      </c>
      <c r="M8" s="27" t="s">
        <v>540</v>
      </c>
      <c r="N8" s="27" t="s">
        <v>541</v>
      </c>
      <c r="O8" s="27" t="s">
        <v>542</v>
      </c>
      <c r="P8" s="27" t="s">
        <v>543</v>
      </c>
      <c r="Q8" s="27" t="s">
        <v>544</v>
      </c>
      <c r="R8" s="34" t="s">
        <v>545</v>
      </c>
      <c r="S8" s="78">
        <f>_xlfn.XLOOKUP(A8,'4. Dashboard'!$A$50:$A$64,'4. Dashboard'!$B$50:$B$64,"")</f>
        <v>0.2</v>
      </c>
    </row>
    <row r="9" spans="1:24" ht="156.75">
      <c r="A9" s="25" t="s">
        <v>296</v>
      </c>
      <c r="B9" s="26" t="s">
        <v>546</v>
      </c>
      <c r="C9" s="27" t="s">
        <v>547</v>
      </c>
      <c r="D9" s="27" t="s">
        <v>548</v>
      </c>
      <c r="E9" s="27" t="s">
        <v>549</v>
      </c>
      <c r="F9" s="27" t="s">
        <v>550</v>
      </c>
      <c r="G9" s="27" t="s">
        <v>551</v>
      </c>
      <c r="H9" s="27" t="s">
        <v>552</v>
      </c>
      <c r="I9" s="27" t="s">
        <v>553</v>
      </c>
      <c r="J9" s="27" t="s">
        <v>554</v>
      </c>
      <c r="K9" s="31" t="s">
        <v>555</v>
      </c>
      <c r="L9" s="27" t="s">
        <v>556</v>
      </c>
      <c r="M9" s="27" t="s">
        <v>557</v>
      </c>
      <c r="N9" s="27" t="s">
        <v>558</v>
      </c>
      <c r="O9" s="31" t="s">
        <v>559</v>
      </c>
      <c r="P9" s="27" t="s">
        <v>560</v>
      </c>
      <c r="Q9" s="27" t="s">
        <v>493</v>
      </c>
      <c r="R9" s="34" t="s">
        <v>561</v>
      </c>
      <c r="S9" s="78">
        <f>_xlfn.XLOOKUP(A9,'4. Dashboard'!$A$50:$A$64,'4. Dashboard'!$B$50:$B$64,"")</f>
        <v>0.2</v>
      </c>
    </row>
    <row r="10" spans="1:24" ht="142.5">
      <c r="A10" s="32" t="s">
        <v>302</v>
      </c>
      <c r="B10" s="26" t="s">
        <v>562</v>
      </c>
      <c r="C10" s="27" t="s">
        <v>563</v>
      </c>
      <c r="D10" s="27" t="s">
        <v>564</v>
      </c>
      <c r="E10" s="27" t="s">
        <v>565</v>
      </c>
      <c r="F10" s="27" t="s">
        <v>566</v>
      </c>
      <c r="G10" s="27" t="s">
        <v>567</v>
      </c>
      <c r="H10" s="27" t="s">
        <v>568</v>
      </c>
      <c r="I10" s="27" t="s">
        <v>569</v>
      </c>
      <c r="J10" s="27" t="s">
        <v>570</v>
      </c>
      <c r="K10" s="27" t="s">
        <v>571</v>
      </c>
      <c r="L10" s="27" t="s">
        <v>572</v>
      </c>
      <c r="M10" s="27" t="s">
        <v>573</v>
      </c>
      <c r="N10" s="27" t="s">
        <v>574</v>
      </c>
      <c r="O10" s="27" t="s">
        <v>575</v>
      </c>
      <c r="P10" s="27" t="s">
        <v>576</v>
      </c>
      <c r="Q10" s="27" t="s">
        <v>577</v>
      </c>
      <c r="R10" s="34" t="s">
        <v>578</v>
      </c>
      <c r="S10" s="78">
        <f>_xlfn.XLOOKUP(A10,'4. Dashboard'!$A$50:$A$64,'4. Dashboard'!$B$50:$B$64,"")</f>
        <v>0.2</v>
      </c>
    </row>
    <row r="11" spans="1:24" ht="128.25">
      <c r="A11" s="25" t="s">
        <v>133</v>
      </c>
      <c r="B11" s="26" t="s">
        <v>579</v>
      </c>
      <c r="C11" s="27" t="s">
        <v>580</v>
      </c>
      <c r="D11" s="27" t="s">
        <v>581</v>
      </c>
      <c r="E11" s="27" t="s">
        <v>582</v>
      </c>
      <c r="F11" s="27" t="s">
        <v>583</v>
      </c>
      <c r="G11" s="27" t="s">
        <v>584</v>
      </c>
      <c r="H11" s="27" t="s">
        <v>685</v>
      </c>
      <c r="I11" s="27" t="s">
        <v>585</v>
      </c>
      <c r="J11" s="27" t="s">
        <v>586</v>
      </c>
      <c r="K11" s="27" t="s">
        <v>587</v>
      </c>
      <c r="L11" s="27" t="s">
        <v>588</v>
      </c>
      <c r="M11" s="27" t="s">
        <v>589</v>
      </c>
      <c r="N11" s="27" t="s">
        <v>590</v>
      </c>
      <c r="O11" s="27"/>
      <c r="P11" s="27"/>
      <c r="Q11" s="27" t="s">
        <v>591</v>
      </c>
      <c r="R11" s="34" t="s">
        <v>592</v>
      </c>
      <c r="S11" s="78">
        <f>_xlfn.XLOOKUP(A11,'4. Dashboard'!$A$50:$A$64,'4. Dashboard'!$B$50:$B$64,"")</f>
        <v>0.2</v>
      </c>
    </row>
    <row r="12" spans="1:24" ht="156.75">
      <c r="A12" s="25" t="s">
        <v>263</v>
      </c>
      <c r="B12" s="26" t="s">
        <v>593</v>
      </c>
      <c r="C12" s="27" t="s">
        <v>594</v>
      </c>
      <c r="D12" s="27" t="s">
        <v>595</v>
      </c>
      <c r="E12" s="27" t="s">
        <v>596</v>
      </c>
      <c r="F12" s="27" t="s">
        <v>597</v>
      </c>
      <c r="G12" s="27" t="s">
        <v>598</v>
      </c>
      <c r="H12" s="27" t="s">
        <v>599</v>
      </c>
      <c r="I12" s="27" t="s">
        <v>600</v>
      </c>
      <c r="J12" s="27" t="s">
        <v>601</v>
      </c>
      <c r="K12" s="27" t="s">
        <v>602</v>
      </c>
      <c r="L12" s="27" t="s">
        <v>603</v>
      </c>
      <c r="M12" s="27" t="s">
        <v>604</v>
      </c>
      <c r="N12" s="27" t="s">
        <v>605</v>
      </c>
      <c r="O12" s="27" t="s">
        <v>606</v>
      </c>
      <c r="P12" s="27" t="s">
        <v>607</v>
      </c>
      <c r="Q12" s="27" t="s">
        <v>608</v>
      </c>
      <c r="R12" s="34" t="s">
        <v>609</v>
      </c>
      <c r="S12" s="78">
        <f>_xlfn.XLOOKUP(A12,'4. Dashboard'!$A$50:$A$64,'4. Dashboard'!$B$50:$B$64,"")</f>
        <v>0.2</v>
      </c>
    </row>
    <row r="13" spans="1:24" ht="171">
      <c r="A13" s="25" t="s">
        <v>137</v>
      </c>
      <c r="B13" s="26" t="s">
        <v>610</v>
      </c>
      <c r="C13" s="27" t="s">
        <v>611</v>
      </c>
      <c r="D13" s="27" t="s">
        <v>612</v>
      </c>
      <c r="E13" s="27" t="s">
        <v>613</v>
      </c>
      <c r="F13" s="27" t="s">
        <v>614</v>
      </c>
      <c r="G13" s="27" t="s">
        <v>615</v>
      </c>
      <c r="H13" s="27" t="s">
        <v>616</v>
      </c>
      <c r="I13" s="27" t="s">
        <v>617</v>
      </c>
      <c r="J13" s="27" t="s">
        <v>618</v>
      </c>
      <c r="K13" s="27" t="s">
        <v>619</v>
      </c>
      <c r="L13" s="27" t="s">
        <v>620</v>
      </c>
      <c r="M13" s="27" t="s">
        <v>621</v>
      </c>
      <c r="N13" s="27" t="s">
        <v>622</v>
      </c>
      <c r="O13" s="27" t="s">
        <v>623</v>
      </c>
      <c r="P13" s="27" t="s">
        <v>624</v>
      </c>
      <c r="Q13" s="27" t="s">
        <v>625</v>
      </c>
      <c r="R13" s="34" t="s">
        <v>626</v>
      </c>
      <c r="S13" s="78">
        <f>_xlfn.XLOOKUP(A13,'4. Dashboard'!$A$50:$A$64,'4. Dashboard'!$B$50:$B$64,"")</f>
        <v>0.2</v>
      </c>
    </row>
    <row r="14" spans="1:24" ht="128.25">
      <c r="A14" s="25" t="s">
        <v>169</v>
      </c>
      <c r="B14" s="26" t="s">
        <v>627</v>
      </c>
      <c r="C14" s="27" t="s">
        <v>628</v>
      </c>
      <c r="D14" s="27" t="s">
        <v>629</v>
      </c>
      <c r="E14" s="27" t="s">
        <v>630</v>
      </c>
      <c r="F14" s="27" t="s">
        <v>631</v>
      </c>
      <c r="G14" s="27" t="s">
        <v>632</v>
      </c>
      <c r="H14" s="27" t="s">
        <v>633</v>
      </c>
      <c r="I14" s="27" t="s">
        <v>634</v>
      </c>
      <c r="J14" s="27" t="s">
        <v>635</v>
      </c>
      <c r="K14" s="27" t="s">
        <v>636</v>
      </c>
      <c r="L14" s="27" t="s">
        <v>637</v>
      </c>
      <c r="M14" s="27" t="s">
        <v>638</v>
      </c>
      <c r="N14" s="27" t="s">
        <v>639</v>
      </c>
      <c r="O14" s="27" t="s">
        <v>640</v>
      </c>
      <c r="P14" s="27" t="s">
        <v>641</v>
      </c>
      <c r="Q14" s="27" t="s">
        <v>642</v>
      </c>
      <c r="R14" s="34" t="s">
        <v>643</v>
      </c>
      <c r="S14" s="78">
        <f>_xlfn.XLOOKUP(A14,'4. Dashboard'!$A$50:$A$64,'4. Dashboard'!$B$50:$B$64,"")</f>
        <v>0.2</v>
      </c>
    </row>
    <row r="15" spans="1:24" ht="185.25">
      <c r="A15" s="25" t="s">
        <v>176</v>
      </c>
      <c r="B15" s="26" t="s">
        <v>644</v>
      </c>
      <c r="C15" s="27" t="s">
        <v>645</v>
      </c>
      <c r="D15" s="27" t="s">
        <v>646</v>
      </c>
      <c r="E15" s="27" t="s">
        <v>647</v>
      </c>
      <c r="F15" s="27" t="s">
        <v>648</v>
      </c>
      <c r="G15" s="27" t="s">
        <v>649</v>
      </c>
      <c r="H15" s="27" t="s">
        <v>650</v>
      </c>
      <c r="I15" s="27" t="s">
        <v>651</v>
      </c>
      <c r="J15" s="27" t="s">
        <v>652</v>
      </c>
      <c r="K15" s="27" t="s">
        <v>653</v>
      </c>
      <c r="L15" s="27" t="s">
        <v>654</v>
      </c>
      <c r="M15" s="27" t="s">
        <v>655</v>
      </c>
      <c r="N15" s="27" t="s">
        <v>656</v>
      </c>
      <c r="O15" s="31" t="s">
        <v>657</v>
      </c>
      <c r="P15" s="27" t="s">
        <v>658</v>
      </c>
      <c r="Q15" s="27" t="s">
        <v>659</v>
      </c>
      <c r="R15" s="34" t="s">
        <v>660</v>
      </c>
      <c r="S15" s="78">
        <f>_xlfn.XLOOKUP(A15,'4. Dashboard'!$A$50:$A$64,'4. Dashboard'!$B$50:$B$64,"")</f>
        <v>0.2</v>
      </c>
    </row>
    <row r="16" spans="1:24" ht="213.75">
      <c r="A16" s="25" t="s">
        <v>183</v>
      </c>
      <c r="B16" s="26" t="s">
        <v>661</v>
      </c>
      <c r="C16" s="27" t="s">
        <v>662</v>
      </c>
      <c r="D16" s="27" t="s">
        <v>663</v>
      </c>
      <c r="E16" s="27" t="s">
        <v>664</v>
      </c>
      <c r="F16" s="27" t="s">
        <v>665</v>
      </c>
      <c r="G16" s="27" t="s">
        <v>666</v>
      </c>
      <c r="H16" s="27" t="s">
        <v>667</v>
      </c>
      <c r="I16" s="27" t="s">
        <v>668</v>
      </c>
      <c r="J16" s="27" t="s">
        <v>669</v>
      </c>
      <c r="K16" s="27" t="s">
        <v>670</v>
      </c>
      <c r="L16" s="27" t="s">
        <v>671</v>
      </c>
      <c r="M16" s="27" t="s">
        <v>672</v>
      </c>
      <c r="N16" s="27" t="s">
        <v>673</v>
      </c>
      <c r="O16" s="27" t="s">
        <v>674</v>
      </c>
      <c r="P16" s="27" t="s">
        <v>675</v>
      </c>
      <c r="Q16" s="27" t="s">
        <v>676</v>
      </c>
      <c r="R16" s="34" t="s">
        <v>677</v>
      </c>
      <c r="S16" s="78">
        <f>_xlfn.XLOOKUP(A16,'4. Dashboard'!$A$50:$A$64,'4. Dashboard'!$B$50:$B$64,"")</f>
        <v>0.2</v>
      </c>
    </row>
    <row r="17" spans="1:6">
      <c r="A17" s="33"/>
    </row>
    <row r="21" spans="1:6">
      <c r="C21" s="111"/>
      <c r="D21" s="31" t="s">
        <v>681</v>
      </c>
      <c r="E21" s="444" t="s">
        <v>803</v>
      </c>
      <c r="F21" s="444"/>
    </row>
    <row r="22" spans="1:6">
      <c r="C22" s="115"/>
      <c r="D22" s="31" t="s">
        <v>682</v>
      </c>
      <c r="E22" s="444" t="s">
        <v>804</v>
      </c>
      <c r="F22" s="444"/>
    </row>
    <row r="23" spans="1:6">
      <c r="C23" s="116"/>
      <c r="D23" s="31" t="s">
        <v>683</v>
      </c>
      <c r="E23" s="444" t="s">
        <v>805</v>
      </c>
      <c r="F23" s="444"/>
    </row>
    <row r="24" spans="1:6">
      <c r="C24" s="117"/>
      <c r="D24" s="31" t="s">
        <v>684</v>
      </c>
      <c r="E24" s="444" t="s">
        <v>806</v>
      </c>
      <c r="F24" s="444"/>
    </row>
  </sheetData>
  <mergeCells count="4">
    <mergeCell ref="E21:F21"/>
    <mergeCell ref="E22:F22"/>
    <mergeCell ref="E23:F23"/>
    <mergeCell ref="E24:F24"/>
  </mergeCells>
  <conditionalFormatting sqref="A2:R16">
    <cfRule type="expression" dxfId="3" priority="49">
      <formula>AND(ISNUMBER($S2),$S2&gt;=0.75)</formula>
    </cfRule>
    <cfRule type="expression" dxfId="2" priority="50">
      <formula>AND(ISNUMBER($S2),$S2&gt;0.5,$S2&lt;0.75)</formula>
    </cfRule>
    <cfRule type="expression" dxfId="1" priority="51">
      <formula>AND(ISNUMBER($S2),$S2&gt;=0.25,$S2&lt;=0.5)</formula>
    </cfRule>
    <cfRule type="expression" dxfId="0" priority="52">
      <formula>AND(ISNUMBER($S2),$S2&lt;0.25)</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675CD-8B15-4ACB-88B7-C1E898A981FB}">
  <dimension ref="A1:F96"/>
  <sheetViews>
    <sheetView topLeftCell="A83" workbookViewId="0">
      <selection activeCell="C87" sqref="C87"/>
    </sheetView>
  </sheetViews>
  <sheetFormatPr defaultColWidth="10.85546875" defaultRowHeight="15"/>
  <cols>
    <col min="1" max="1" width="10.85546875" style="4"/>
    <col min="2" max="2" width="13.28515625" style="4" customWidth="1"/>
    <col min="3" max="3" width="74.7109375" style="4" customWidth="1"/>
    <col min="4" max="4" width="24.140625" style="4" customWidth="1"/>
    <col min="5" max="5" width="14" style="4" customWidth="1"/>
    <col min="6" max="6" width="42.85546875" style="4" customWidth="1"/>
    <col min="7" max="16384" width="10.85546875" style="4"/>
  </cols>
  <sheetData>
    <row r="1" spans="1:6">
      <c r="A1" s="11" t="s">
        <v>84</v>
      </c>
      <c r="B1" s="11" t="s">
        <v>85</v>
      </c>
      <c r="C1" s="11" t="s">
        <v>86</v>
      </c>
      <c r="D1" s="11" t="s">
        <v>87</v>
      </c>
      <c r="E1" s="11" t="s">
        <v>88</v>
      </c>
      <c r="F1" s="11" t="s">
        <v>89</v>
      </c>
    </row>
    <row r="2" spans="1:6" ht="45">
      <c r="A2" s="4" t="s">
        <v>90</v>
      </c>
      <c r="B2" s="4" t="s">
        <v>91</v>
      </c>
      <c r="C2" s="4" t="s">
        <v>92</v>
      </c>
      <c r="D2" s="4" t="s">
        <v>93</v>
      </c>
      <c r="E2" s="4" t="s">
        <v>94</v>
      </c>
      <c r="F2" s="4" t="s">
        <v>95</v>
      </c>
    </row>
    <row r="3" spans="1:6" ht="45">
      <c r="A3" s="4" t="s">
        <v>22</v>
      </c>
      <c r="B3" s="4" t="s">
        <v>91</v>
      </c>
      <c r="C3" s="4" t="s">
        <v>96</v>
      </c>
      <c r="D3" s="4" t="s">
        <v>97</v>
      </c>
      <c r="E3" s="4" t="s">
        <v>94</v>
      </c>
      <c r="F3" s="4" t="s">
        <v>98</v>
      </c>
    </row>
    <row r="4" spans="1:6" ht="30">
      <c r="A4" s="4" t="s">
        <v>99</v>
      </c>
      <c r="B4" s="4" t="s">
        <v>91</v>
      </c>
      <c r="C4" s="4" t="s">
        <v>100</v>
      </c>
      <c r="D4" s="4" t="s">
        <v>97</v>
      </c>
      <c r="E4" s="4" t="s">
        <v>94</v>
      </c>
      <c r="F4" s="4" t="s">
        <v>101</v>
      </c>
    </row>
    <row r="5" spans="1:6" ht="45">
      <c r="A5" s="4" t="s">
        <v>102</v>
      </c>
      <c r="B5" s="4" t="s">
        <v>91</v>
      </c>
      <c r="C5" s="4" t="s">
        <v>103</v>
      </c>
      <c r="D5" s="4" t="s">
        <v>97</v>
      </c>
      <c r="E5" s="4" t="s">
        <v>94</v>
      </c>
      <c r="F5" s="4" t="s">
        <v>104</v>
      </c>
    </row>
    <row r="6" spans="1:6" ht="30">
      <c r="A6" s="4" t="s">
        <v>105</v>
      </c>
      <c r="B6" s="4" t="s">
        <v>91</v>
      </c>
      <c r="C6" s="4" t="s">
        <v>106</v>
      </c>
      <c r="D6" s="4" t="s">
        <v>97</v>
      </c>
      <c r="E6" s="4" t="s">
        <v>94</v>
      </c>
      <c r="F6" s="4" t="s">
        <v>107</v>
      </c>
    </row>
    <row r="7" spans="1:6" ht="60">
      <c r="A7" s="4" t="s">
        <v>108</v>
      </c>
      <c r="B7" s="4" t="s">
        <v>91</v>
      </c>
      <c r="C7" s="4" t="s">
        <v>109</v>
      </c>
      <c r="D7" s="4" t="s">
        <v>97</v>
      </c>
      <c r="E7" s="4" t="s">
        <v>94</v>
      </c>
      <c r="F7" s="4" t="s">
        <v>110</v>
      </c>
    </row>
    <row r="8" spans="1:6" ht="45">
      <c r="A8" s="4" t="s">
        <v>111</v>
      </c>
      <c r="B8" s="4" t="s">
        <v>91</v>
      </c>
      <c r="C8" s="4" t="s">
        <v>112</v>
      </c>
      <c r="D8" s="4" t="s">
        <v>97</v>
      </c>
      <c r="E8" s="4" t="s">
        <v>94</v>
      </c>
      <c r="F8" s="4" t="s">
        <v>113</v>
      </c>
    </row>
    <row r="9" spans="1:6">
      <c r="A9" s="4" t="s">
        <v>114</v>
      </c>
      <c r="B9" s="4" t="s">
        <v>91</v>
      </c>
      <c r="C9" s="4" t="s">
        <v>115</v>
      </c>
      <c r="D9" s="4" t="s">
        <v>97</v>
      </c>
      <c r="E9" s="4" t="s">
        <v>94</v>
      </c>
      <c r="F9" s="4" t="s">
        <v>116</v>
      </c>
    </row>
    <row r="10" spans="1:6" ht="75">
      <c r="A10" s="4" t="s">
        <v>117</v>
      </c>
      <c r="B10" s="4" t="s">
        <v>91</v>
      </c>
      <c r="C10" s="4" t="s">
        <v>118</v>
      </c>
      <c r="D10" s="4" t="s">
        <v>97</v>
      </c>
      <c r="E10" s="4" t="s">
        <v>94</v>
      </c>
      <c r="F10" s="4" t="s">
        <v>119</v>
      </c>
    </row>
    <row r="11" spans="1:6" ht="30">
      <c r="A11" s="4" t="s">
        <v>120</v>
      </c>
      <c r="B11" s="4" t="s">
        <v>91</v>
      </c>
      <c r="C11" s="4" t="s">
        <v>121</v>
      </c>
      <c r="D11" s="4" t="s">
        <v>122</v>
      </c>
      <c r="E11" s="4" t="s">
        <v>94</v>
      </c>
      <c r="F11" s="4" t="s">
        <v>123</v>
      </c>
    </row>
    <row r="12" spans="1:6" ht="45">
      <c r="A12" s="4" t="s">
        <v>124</v>
      </c>
      <c r="B12" s="4" t="s">
        <v>91</v>
      </c>
      <c r="C12" s="4" t="s">
        <v>125</v>
      </c>
      <c r="D12" s="4" t="s">
        <v>122</v>
      </c>
      <c r="E12" s="4" t="s">
        <v>94</v>
      </c>
      <c r="F12" s="4" t="s">
        <v>126</v>
      </c>
    </row>
    <row r="13" spans="1:6" ht="30">
      <c r="A13" s="4" t="s">
        <v>127</v>
      </c>
      <c r="B13" s="4" t="s">
        <v>91</v>
      </c>
      <c r="C13" s="4" t="s">
        <v>128</v>
      </c>
      <c r="D13" s="4" t="s">
        <v>129</v>
      </c>
      <c r="E13" s="4" t="s">
        <v>94</v>
      </c>
      <c r="F13" s="4" t="s">
        <v>130</v>
      </c>
    </row>
    <row r="14" spans="1:6" ht="60">
      <c r="A14" s="4" t="s">
        <v>131</v>
      </c>
      <c r="B14" s="4" t="s">
        <v>91</v>
      </c>
      <c r="C14" s="4" t="s">
        <v>132</v>
      </c>
      <c r="D14" s="4" t="s">
        <v>133</v>
      </c>
      <c r="E14" s="4" t="s">
        <v>94</v>
      </c>
      <c r="F14" s="4" t="s">
        <v>134</v>
      </c>
    </row>
    <row r="15" spans="1:6" ht="45">
      <c r="A15" s="4" t="s">
        <v>135</v>
      </c>
      <c r="B15" s="4" t="s">
        <v>91</v>
      </c>
      <c r="C15" s="4" t="s">
        <v>136</v>
      </c>
      <c r="D15" s="4" t="s">
        <v>137</v>
      </c>
      <c r="E15" s="4" t="s">
        <v>94</v>
      </c>
      <c r="F15" s="4" t="s">
        <v>138</v>
      </c>
    </row>
    <row r="16" spans="1:6" ht="60">
      <c r="A16" s="4" t="s">
        <v>139</v>
      </c>
      <c r="B16" s="4" t="s">
        <v>91</v>
      </c>
      <c r="C16" s="4" t="s">
        <v>140</v>
      </c>
      <c r="D16" s="4" t="s">
        <v>137</v>
      </c>
      <c r="E16" s="4" t="s">
        <v>94</v>
      </c>
      <c r="F16" s="4" t="s">
        <v>141</v>
      </c>
    </row>
    <row r="17" spans="1:6" ht="30">
      <c r="A17" s="4" t="s">
        <v>142</v>
      </c>
      <c r="B17" s="4" t="s">
        <v>91</v>
      </c>
      <c r="C17" s="4" t="s">
        <v>143</v>
      </c>
      <c r="D17" s="4" t="s">
        <v>97</v>
      </c>
      <c r="E17" s="4" t="s">
        <v>144</v>
      </c>
      <c r="F17" s="4" t="s">
        <v>145</v>
      </c>
    </row>
    <row r="18" spans="1:6" ht="45">
      <c r="A18" s="4" t="s">
        <v>146</v>
      </c>
      <c r="B18" s="4" t="s">
        <v>91</v>
      </c>
      <c r="C18" s="4" t="s">
        <v>147</v>
      </c>
      <c r="D18" s="4" t="s">
        <v>97</v>
      </c>
      <c r="E18" s="4" t="s">
        <v>144</v>
      </c>
      <c r="F18" s="4" t="s">
        <v>148</v>
      </c>
    </row>
    <row r="19" spans="1:6" ht="60">
      <c r="A19" s="4" t="s">
        <v>149</v>
      </c>
      <c r="B19" s="4" t="s">
        <v>91</v>
      </c>
      <c r="C19" s="4" t="s">
        <v>150</v>
      </c>
      <c r="D19" s="4" t="s">
        <v>97</v>
      </c>
      <c r="E19" s="4" t="s">
        <v>144</v>
      </c>
      <c r="F19" s="4" t="s">
        <v>151</v>
      </c>
    </row>
    <row r="20" spans="1:6" ht="45">
      <c r="A20" s="4" t="s">
        <v>152</v>
      </c>
      <c r="B20" s="4" t="s">
        <v>91</v>
      </c>
      <c r="C20" s="4" t="s">
        <v>153</v>
      </c>
      <c r="D20" s="4" t="s">
        <v>122</v>
      </c>
      <c r="E20" s="4" t="s">
        <v>144</v>
      </c>
      <c r="F20" s="4" t="s">
        <v>95</v>
      </c>
    </row>
    <row r="21" spans="1:6" ht="30">
      <c r="A21" s="4" t="s">
        <v>154</v>
      </c>
      <c r="B21" s="4" t="s">
        <v>155</v>
      </c>
      <c r="C21" s="4" t="s">
        <v>156</v>
      </c>
      <c r="D21" s="4" t="s">
        <v>97</v>
      </c>
      <c r="E21" s="4" t="s">
        <v>94</v>
      </c>
      <c r="F21" s="4" t="s">
        <v>104</v>
      </c>
    </row>
    <row r="22" spans="1:6" ht="30">
      <c r="A22" s="4" t="s">
        <v>157</v>
      </c>
      <c r="B22" s="4" t="s">
        <v>155</v>
      </c>
      <c r="C22" s="4" t="s">
        <v>158</v>
      </c>
      <c r="D22" s="4" t="s">
        <v>97</v>
      </c>
      <c r="E22" s="4" t="s">
        <v>94</v>
      </c>
      <c r="F22" s="4" t="s">
        <v>104</v>
      </c>
    </row>
    <row r="23" spans="1:6" ht="30">
      <c r="A23" s="4" t="s">
        <v>159</v>
      </c>
      <c r="B23" s="4" t="s">
        <v>155</v>
      </c>
      <c r="C23" s="4" t="s">
        <v>160</v>
      </c>
      <c r="D23" s="4" t="s">
        <v>97</v>
      </c>
      <c r="E23" s="4" t="s">
        <v>94</v>
      </c>
      <c r="F23" s="4" t="s">
        <v>104</v>
      </c>
    </row>
    <row r="24" spans="1:6" ht="30">
      <c r="A24" s="4" t="s">
        <v>161</v>
      </c>
      <c r="B24" s="4" t="s">
        <v>155</v>
      </c>
      <c r="C24" s="4" t="s">
        <v>162</v>
      </c>
      <c r="D24" s="4" t="s">
        <v>97</v>
      </c>
      <c r="E24" s="4" t="s">
        <v>94</v>
      </c>
      <c r="F24" s="4" t="s">
        <v>163</v>
      </c>
    </row>
    <row r="25" spans="1:6" ht="30">
      <c r="A25" s="4" t="s">
        <v>164</v>
      </c>
      <c r="B25" s="4" t="s">
        <v>155</v>
      </c>
      <c r="C25" s="4" t="s">
        <v>165</v>
      </c>
      <c r="D25" s="4" t="s">
        <v>133</v>
      </c>
      <c r="E25" s="4" t="s">
        <v>94</v>
      </c>
      <c r="F25" s="4" t="s">
        <v>166</v>
      </c>
    </row>
    <row r="26" spans="1:6" ht="45">
      <c r="A26" s="4" t="s">
        <v>167</v>
      </c>
      <c r="B26" s="4" t="s">
        <v>155</v>
      </c>
      <c r="C26" s="4" t="s">
        <v>168</v>
      </c>
      <c r="D26" s="4" t="s">
        <v>169</v>
      </c>
      <c r="E26" s="4" t="s">
        <v>94</v>
      </c>
      <c r="F26" s="4" t="s">
        <v>170</v>
      </c>
    </row>
    <row r="27" spans="1:6" ht="30">
      <c r="A27" s="4" t="s">
        <v>171</v>
      </c>
      <c r="B27" s="4" t="s">
        <v>155</v>
      </c>
      <c r="C27" s="4" t="s">
        <v>172</v>
      </c>
      <c r="D27" s="4" t="s">
        <v>169</v>
      </c>
      <c r="E27" s="4" t="s">
        <v>94</v>
      </c>
      <c r="F27" s="4" t="s">
        <v>173</v>
      </c>
    </row>
    <row r="28" spans="1:6" ht="45">
      <c r="A28" s="4" t="s">
        <v>174</v>
      </c>
      <c r="B28" s="4" t="s">
        <v>155</v>
      </c>
      <c r="C28" s="4" t="s">
        <v>175</v>
      </c>
      <c r="D28" s="4" t="s">
        <v>176</v>
      </c>
      <c r="E28" s="4" t="s">
        <v>94</v>
      </c>
      <c r="F28" s="4" t="s">
        <v>177</v>
      </c>
    </row>
    <row r="29" spans="1:6" ht="30">
      <c r="A29" s="4" t="s">
        <v>178</v>
      </c>
      <c r="B29" s="4" t="s">
        <v>155</v>
      </c>
      <c r="C29" s="4" t="s">
        <v>179</v>
      </c>
      <c r="D29" s="4" t="s">
        <v>176</v>
      </c>
      <c r="E29" s="4" t="s">
        <v>94</v>
      </c>
      <c r="F29" s="4" t="s">
        <v>180</v>
      </c>
    </row>
    <row r="30" spans="1:6" ht="30">
      <c r="A30" s="4" t="s">
        <v>181</v>
      </c>
      <c r="B30" s="4" t="s">
        <v>155</v>
      </c>
      <c r="C30" s="4" t="s">
        <v>182</v>
      </c>
      <c r="D30" s="4" t="s">
        <v>183</v>
      </c>
      <c r="E30" s="4" t="s">
        <v>94</v>
      </c>
      <c r="F30" s="4" t="s">
        <v>163</v>
      </c>
    </row>
    <row r="31" spans="1:6" ht="51" customHeight="1">
      <c r="A31" s="4" t="s">
        <v>184</v>
      </c>
      <c r="B31" s="4" t="s">
        <v>155</v>
      </c>
      <c r="C31" s="4" t="s">
        <v>185</v>
      </c>
      <c r="D31" s="4" t="s">
        <v>97</v>
      </c>
      <c r="E31" s="4" t="s">
        <v>144</v>
      </c>
      <c r="F31" s="4" t="s">
        <v>104</v>
      </c>
    </row>
    <row r="32" spans="1:6" ht="45">
      <c r="A32" s="4" t="s">
        <v>186</v>
      </c>
      <c r="B32" s="4" t="s">
        <v>155</v>
      </c>
      <c r="C32" s="4" t="s">
        <v>187</v>
      </c>
      <c r="D32" s="4" t="s">
        <v>133</v>
      </c>
      <c r="E32" s="4" t="s">
        <v>144</v>
      </c>
      <c r="F32" s="4" t="s">
        <v>188</v>
      </c>
    </row>
    <row r="33" spans="1:6" ht="30">
      <c r="A33" s="4" t="s">
        <v>189</v>
      </c>
      <c r="B33" s="4" t="s">
        <v>155</v>
      </c>
      <c r="C33" s="4" t="s">
        <v>190</v>
      </c>
      <c r="D33" s="4" t="s">
        <v>169</v>
      </c>
      <c r="E33" s="4" t="s">
        <v>144</v>
      </c>
      <c r="F33" s="4" t="s">
        <v>191</v>
      </c>
    </row>
    <row r="34" spans="1:6" ht="30">
      <c r="A34" s="4" t="s">
        <v>192</v>
      </c>
      <c r="B34" s="4" t="s">
        <v>155</v>
      </c>
      <c r="C34" s="4" t="s">
        <v>193</v>
      </c>
      <c r="D34" s="4" t="s">
        <v>169</v>
      </c>
      <c r="E34" s="4" t="s">
        <v>144</v>
      </c>
      <c r="F34" s="4" t="s">
        <v>194</v>
      </c>
    </row>
    <row r="35" spans="1:6" ht="30">
      <c r="A35" s="4" t="s">
        <v>195</v>
      </c>
      <c r="B35" s="4" t="s">
        <v>155</v>
      </c>
      <c r="C35" s="4" t="s">
        <v>196</v>
      </c>
      <c r="D35" s="4" t="s">
        <v>169</v>
      </c>
      <c r="E35" s="4" t="s">
        <v>144</v>
      </c>
      <c r="F35" s="4" t="s">
        <v>163</v>
      </c>
    </row>
    <row r="36" spans="1:6" ht="30">
      <c r="A36" s="4" t="s">
        <v>197</v>
      </c>
      <c r="B36" s="4" t="s">
        <v>155</v>
      </c>
      <c r="C36" s="4" t="s">
        <v>198</v>
      </c>
      <c r="D36" s="4" t="s">
        <v>176</v>
      </c>
      <c r="E36" s="4" t="s">
        <v>144</v>
      </c>
      <c r="F36" s="4" t="s">
        <v>199</v>
      </c>
    </row>
    <row r="37" spans="1:6">
      <c r="A37" s="4" t="s">
        <v>200</v>
      </c>
      <c r="B37" s="4" t="s">
        <v>155</v>
      </c>
      <c r="C37" s="4" t="s">
        <v>201</v>
      </c>
      <c r="D37" s="4" t="s">
        <v>176</v>
      </c>
      <c r="E37" s="4" t="s">
        <v>144</v>
      </c>
      <c r="F37" s="4" t="s">
        <v>180</v>
      </c>
    </row>
    <row r="38" spans="1:6" ht="45">
      <c r="A38" s="4" t="s">
        <v>202</v>
      </c>
      <c r="B38" s="4" t="s">
        <v>155</v>
      </c>
      <c r="C38" s="4" t="s">
        <v>203</v>
      </c>
      <c r="D38" s="4" t="s">
        <v>137</v>
      </c>
      <c r="E38" s="4" t="s">
        <v>204</v>
      </c>
      <c r="F38" s="4" t="s">
        <v>205</v>
      </c>
    </row>
    <row r="39" spans="1:6" ht="30">
      <c r="A39" s="4" t="s">
        <v>206</v>
      </c>
      <c r="B39" s="4" t="s">
        <v>155</v>
      </c>
      <c r="C39" s="4" t="s">
        <v>207</v>
      </c>
      <c r="D39" s="4" t="s">
        <v>176</v>
      </c>
      <c r="E39" s="4" t="s">
        <v>204</v>
      </c>
      <c r="F39" s="4" t="s">
        <v>208</v>
      </c>
    </row>
    <row r="40" spans="1:6" ht="30">
      <c r="A40" s="4" t="s">
        <v>37</v>
      </c>
      <c r="B40" s="4" t="s">
        <v>209</v>
      </c>
      <c r="C40" s="4" t="s">
        <v>210</v>
      </c>
      <c r="D40" s="4" t="s">
        <v>211</v>
      </c>
      <c r="E40" s="4" t="s">
        <v>94</v>
      </c>
      <c r="F40" s="4" t="s">
        <v>107</v>
      </c>
    </row>
    <row r="41" spans="1:6" ht="60">
      <c r="A41" s="4" t="s">
        <v>212</v>
      </c>
      <c r="B41" s="4" t="s">
        <v>209</v>
      </c>
      <c r="C41" s="4" t="s">
        <v>213</v>
      </c>
      <c r="D41" s="4" t="s">
        <v>214</v>
      </c>
      <c r="E41" s="4" t="s">
        <v>94</v>
      </c>
      <c r="F41" s="4" t="s">
        <v>170</v>
      </c>
    </row>
    <row r="42" spans="1:6" ht="30">
      <c r="A42" s="4" t="s">
        <v>215</v>
      </c>
      <c r="B42" s="4" t="s">
        <v>209</v>
      </c>
      <c r="C42" s="4" t="s">
        <v>106</v>
      </c>
      <c r="D42" s="4" t="s">
        <v>97</v>
      </c>
      <c r="E42" s="4" t="s">
        <v>94</v>
      </c>
      <c r="F42" s="4" t="s">
        <v>107</v>
      </c>
    </row>
    <row r="43" spans="1:6" ht="60">
      <c r="A43" s="4" t="s">
        <v>216</v>
      </c>
      <c r="B43" s="4" t="s">
        <v>209</v>
      </c>
      <c r="C43" s="4" t="s">
        <v>217</v>
      </c>
      <c r="D43" s="4" t="s">
        <v>97</v>
      </c>
      <c r="E43" s="4" t="s">
        <v>94</v>
      </c>
      <c r="F43" s="4" t="s">
        <v>110</v>
      </c>
    </row>
    <row r="44" spans="1:6" ht="30">
      <c r="A44" s="4" t="s">
        <v>218</v>
      </c>
      <c r="B44" s="4" t="s">
        <v>209</v>
      </c>
      <c r="C44" s="4" t="s">
        <v>121</v>
      </c>
      <c r="D44" s="4" t="s">
        <v>122</v>
      </c>
      <c r="E44" s="4" t="s">
        <v>94</v>
      </c>
      <c r="F44" s="4" t="s">
        <v>123</v>
      </c>
    </row>
    <row r="45" spans="1:6" ht="45">
      <c r="A45" s="4" t="s">
        <v>219</v>
      </c>
      <c r="B45" s="4" t="s">
        <v>209</v>
      </c>
      <c r="C45" s="4" t="s">
        <v>220</v>
      </c>
      <c r="D45" s="4" t="s">
        <v>129</v>
      </c>
      <c r="E45" s="4" t="s">
        <v>94</v>
      </c>
      <c r="F45" s="4" t="s">
        <v>130</v>
      </c>
    </row>
    <row r="46" spans="1:6" ht="30">
      <c r="A46" s="4" t="s">
        <v>221</v>
      </c>
      <c r="B46" s="4" t="s">
        <v>209</v>
      </c>
      <c r="C46" s="4" t="s">
        <v>222</v>
      </c>
      <c r="D46" s="4" t="s">
        <v>133</v>
      </c>
      <c r="E46" s="4" t="s">
        <v>94</v>
      </c>
      <c r="F46" s="4" t="s">
        <v>223</v>
      </c>
    </row>
    <row r="47" spans="1:6" ht="45">
      <c r="A47" s="4" t="s">
        <v>224</v>
      </c>
      <c r="B47" s="4" t="s">
        <v>209</v>
      </c>
      <c r="C47" s="4" t="s">
        <v>225</v>
      </c>
      <c r="D47" s="4" t="s">
        <v>133</v>
      </c>
      <c r="E47" s="4" t="s">
        <v>94</v>
      </c>
      <c r="F47" s="4" t="s">
        <v>226</v>
      </c>
    </row>
    <row r="48" spans="1:6" ht="30">
      <c r="A48" s="4" t="s">
        <v>39</v>
      </c>
      <c r="B48" s="4" t="s">
        <v>209</v>
      </c>
      <c r="C48" s="4" t="s">
        <v>227</v>
      </c>
      <c r="D48" s="4" t="s">
        <v>137</v>
      </c>
      <c r="E48" s="4" t="s">
        <v>94</v>
      </c>
      <c r="F48" s="4" t="s">
        <v>228</v>
      </c>
    </row>
    <row r="49" spans="1:6">
      <c r="A49" s="4" t="s">
        <v>229</v>
      </c>
      <c r="B49" s="4" t="s">
        <v>209</v>
      </c>
      <c r="C49" s="4" t="s">
        <v>230</v>
      </c>
      <c r="D49" s="4" t="s">
        <v>137</v>
      </c>
      <c r="E49" s="4" t="s">
        <v>94</v>
      </c>
      <c r="F49" s="4" t="s">
        <v>231</v>
      </c>
    </row>
    <row r="50" spans="1:6" ht="30">
      <c r="A50" s="4" t="s">
        <v>232</v>
      </c>
      <c r="B50" s="4" t="s">
        <v>209</v>
      </c>
      <c r="C50" s="4" t="s">
        <v>233</v>
      </c>
      <c r="D50" s="4" t="s">
        <v>169</v>
      </c>
      <c r="E50" s="4" t="s">
        <v>94</v>
      </c>
      <c r="F50" s="4" t="s">
        <v>234</v>
      </c>
    </row>
    <row r="51" spans="1:6" ht="60">
      <c r="A51" s="4" t="s">
        <v>235</v>
      </c>
      <c r="B51" s="4" t="s">
        <v>209</v>
      </c>
      <c r="C51" s="4" t="s">
        <v>236</v>
      </c>
      <c r="D51" s="4" t="s">
        <v>169</v>
      </c>
      <c r="E51" s="4" t="s">
        <v>94</v>
      </c>
      <c r="F51" s="4" t="s">
        <v>237</v>
      </c>
    </row>
    <row r="52" spans="1:6" ht="30">
      <c r="A52" s="4" t="s">
        <v>238</v>
      </c>
      <c r="B52" s="4" t="s">
        <v>209</v>
      </c>
      <c r="C52" s="4" t="s">
        <v>239</v>
      </c>
      <c r="D52" s="4" t="s">
        <v>183</v>
      </c>
      <c r="E52" s="4" t="s">
        <v>94</v>
      </c>
      <c r="F52" s="4" t="s">
        <v>240</v>
      </c>
    </row>
    <row r="53" spans="1:6" ht="30">
      <c r="A53" s="4" t="s">
        <v>241</v>
      </c>
      <c r="B53" s="4" t="s">
        <v>209</v>
      </c>
      <c r="C53" s="4" t="s">
        <v>242</v>
      </c>
      <c r="D53" s="4" t="s">
        <v>214</v>
      </c>
      <c r="E53" s="4" t="s">
        <v>144</v>
      </c>
      <c r="F53" s="4" t="s">
        <v>170</v>
      </c>
    </row>
    <row r="54" spans="1:6" ht="75">
      <c r="A54" s="4" t="s">
        <v>243</v>
      </c>
      <c r="B54" s="4" t="s">
        <v>209</v>
      </c>
      <c r="C54" s="4" t="s">
        <v>244</v>
      </c>
      <c r="D54" s="4" t="s">
        <v>97</v>
      </c>
      <c r="E54" s="4" t="s">
        <v>144</v>
      </c>
      <c r="F54" s="4" t="s">
        <v>245</v>
      </c>
    </row>
    <row r="55" spans="1:6" ht="60">
      <c r="A55" s="4" t="s">
        <v>246</v>
      </c>
      <c r="B55" s="4" t="s">
        <v>209</v>
      </c>
      <c r="C55" s="4" t="s">
        <v>247</v>
      </c>
      <c r="D55" s="4" t="s">
        <v>97</v>
      </c>
      <c r="E55" s="4" t="s">
        <v>144</v>
      </c>
      <c r="F55" s="4" t="s">
        <v>248</v>
      </c>
    </row>
    <row r="56" spans="1:6" ht="30">
      <c r="A56" s="4" t="s">
        <v>249</v>
      </c>
      <c r="B56" s="4" t="s">
        <v>209</v>
      </c>
      <c r="C56" s="4" t="s">
        <v>250</v>
      </c>
      <c r="D56" s="4" t="s">
        <v>97</v>
      </c>
      <c r="E56" s="4" t="s">
        <v>204</v>
      </c>
      <c r="F56" s="4" t="s">
        <v>251</v>
      </c>
    </row>
    <row r="57" spans="1:6" ht="60">
      <c r="A57" s="4" t="s">
        <v>252</v>
      </c>
      <c r="B57" s="4" t="s">
        <v>253</v>
      </c>
      <c r="C57" s="4" t="s">
        <v>213</v>
      </c>
      <c r="D57" s="4" t="s">
        <v>214</v>
      </c>
      <c r="E57" s="4" t="s">
        <v>94</v>
      </c>
      <c r="F57" s="4" t="s">
        <v>170</v>
      </c>
    </row>
    <row r="58" spans="1:6" ht="30">
      <c r="A58" s="4" t="s">
        <v>254</v>
      </c>
      <c r="B58" s="4" t="s">
        <v>253</v>
      </c>
      <c r="C58" s="4" t="s">
        <v>121</v>
      </c>
      <c r="D58" s="4" t="s">
        <v>122</v>
      </c>
      <c r="E58" s="4" t="s">
        <v>94</v>
      </c>
      <c r="F58" s="4" t="s">
        <v>123</v>
      </c>
    </row>
    <row r="59" spans="1:6" ht="45">
      <c r="A59" s="4" t="s">
        <v>255</v>
      </c>
      <c r="B59" s="4" t="s">
        <v>253</v>
      </c>
      <c r="C59" s="4" t="s">
        <v>125</v>
      </c>
      <c r="D59" s="4" t="s">
        <v>122</v>
      </c>
      <c r="E59" s="4" t="s">
        <v>94</v>
      </c>
      <c r="F59" s="4" t="s">
        <v>126</v>
      </c>
    </row>
    <row r="60" spans="1:6" ht="45">
      <c r="A60" s="4" t="s">
        <v>256</v>
      </c>
      <c r="B60" s="4" t="s">
        <v>253</v>
      </c>
      <c r="C60" s="4" t="s">
        <v>257</v>
      </c>
      <c r="D60" s="4" t="s">
        <v>129</v>
      </c>
      <c r="E60" s="4" t="s">
        <v>94</v>
      </c>
      <c r="F60" s="4" t="s">
        <v>130</v>
      </c>
    </row>
    <row r="61" spans="1:6" ht="75">
      <c r="A61" s="4" t="s">
        <v>258</v>
      </c>
      <c r="B61" s="4" t="s">
        <v>253</v>
      </c>
      <c r="C61" s="4" t="s">
        <v>259</v>
      </c>
      <c r="D61" s="4" t="s">
        <v>133</v>
      </c>
      <c r="E61" s="4" t="s">
        <v>94</v>
      </c>
      <c r="F61" s="4" t="s">
        <v>260</v>
      </c>
    </row>
    <row r="62" spans="1:6" ht="45">
      <c r="A62" s="4" t="s">
        <v>261</v>
      </c>
      <c r="B62" s="4" t="s">
        <v>253</v>
      </c>
      <c r="C62" s="4" t="s">
        <v>262</v>
      </c>
      <c r="D62" s="4" t="s">
        <v>263</v>
      </c>
      <c r="E62" s="4" t="s">
        <v>94</v>
      </c>
      <c r="F62" s="4" t="s">
        <v>170</v>
      </c>
    </row>
    <row r="63" spans="1:6" ht="60">
      <c r="A63" s="4" t="s">
        <v>264</v>
      </c>
      <c r="B63" s="4" t="s">
        <v>253</v>
      </c>
      <c r="C63" s="4" t="s">
        <v>265</v>
      </c>
      <c r="D63" s="4" t="s">
        <v>263</v>
      </c>
      <c r="E63" s="4" t="s">
        <v>94</v>
      </c>
      <c r="F63" s="4" t="s">
        <v>266</v>
      </c>
    </row>
    <row r="64" spans="1:6">
      <c r="A64" s="4" t="s">
        <v>267</v>
      </c>
      <c r="B64" s="4" t="s">
        <v>253</v>
      </c>
      <c r="C64" s="4" t="s">
        <v>268</v>
      </c>
      <c r="D64" s="4" t="s">
        <v>263</v>
      </c>
      <c r="E64" s="4" t="s">
        <v>94</v>
      </c>
      <c r="F64" s="4" t="s">
        <v>269</v>
      </c>
    </row>
    <row r="65" spans="1:6" ht="60">
      <c r="A65" s="4" t="s">
        <v>270</v>
      </c>
      <c r="B65" s="4" t="s">
        <v>253</v>
      </c>
      <c r="C65" s="4" t="s">
        <v>271</v>
      </c>
      <c r="D65" s="4" t="s">
        <v>137</v>
      </c>
      <c r="E65" s="4" t="s">
        <v>94</v>
      </c>
      <c r="F65" s="4" t="s">
        <v>95</v>
      </c>
    </row>
    <row r="66" spans="1:6" ht="30">
      <c r="A66" s="4" t="s">
        <v>272</v>
      </c>
      <c r="B66" s="4" t="s">
        <v>253</v>
      </c>
      <c r="C66" s="4" t="s">
        <v>273</v>
      </c>
      <c r="D66" s="4" t="s">
        <v>137</v>
      </c>
      <c r="E66" s="4" t="s">
        <v>94</v>
      </c>
      <c r="F66" s="4" t="s">
        <v>274</v>
      </c>
    </row>
    <row r="67" spans="1:6" ht="30">
      <c r="A67" s="4" t="s">
        <v>275</v>
      </c>
      <c r="B67" s="4" t="s">
        <v>253</v>
      </c>
      <c r="C67" s="4" t="s">
        <v>276</v>
      </c>
      <c r="D67" s="4" t="s">
        <v>137</v>
      </c>
      <c r="E67" s="4" t="s">
        <v>94</v>
      </c>
      <c r="F67" s="4" t="s">
        <v>274</v>
      </c>
    </row>
    <row r="68" spans="1:6" ht="30">
      <c r="A68" s="4" t="s">
        <v>277</v>
      </c>
      <c r="B68" s="4" t="s">
        <v>253</v>
      </c>
      <c r="C68" s="4" t="s">
        <v>278</v>
      </c>
      <c r="D68" s="4" t="s">
        <v>169</v>
      </c>
      <c r="E68" s="4" t="s">
        <v>94</v>
      </c>
      <c r="F68" s="4" t="s">
        <v>279</v>
      </c>
    </row>
    <row r="69" spans="1:6" ht="30">
      <c r="A69" s="4" t="s">
        <v>280</v>
      </c>
      <c r="B69" s="4" t="s">
        <v>253</v>
      </c>
      <c r="C69" s="4" t="s">
        <v>281</v>
      </c>
      <c r="D69" s="4" t="s">
        <v>183</v>
      </c>
      <c r="E69" s="4" t="s">
        <v>94</v>
      </c>
      <c r="F69" s="4" t="s">
        <v>282</v>
      </c>
    </row>
    <row r="70" spans="1:6" ht="30">
      <c r="A70" s="4" t="s">
        <v>283</v>
      </c>
      <c r="B70" s="4" t="s">
        <v>253</v>
      </c>
      <c r="C70" s="4" t="s">
        <v>242</v>
      </c>
      <c r="D70" s="4" t="s">
        <v>214</v>
      </c>
      <c r="E70" s="4" t="s">
        <v>144</v>
      </c>
      <c r="F70" s="4" t="s">
        <v>170</v>
      </c>
    </row>
    <row r="71" spans="1:6" ht="45">
      <c r="A71" s="4" t="s">
        <v>284</v>
      </c>
      <c r="B71" s="4" t="s">
        <v>253</v>
      </c>
      <c r="C71" s="4" t="s">
        <v>285</v>
      </c>
      <c r="D71" s="4" t="s">
        <v>97</v>
      </c>
      <c r="E71" s="4" t="s">
        <v>144</v>
      </c>
      <c r="F71" s="4" t="s">
        <v>286</v>
      </c>
    </row>
    <row r="72" spans="1:6" ht="60">
      <c r="A72" s="4" t="s">
        <v>287</v>
      </c>
      <c r="B72" s="4" t="s">
        <v>288</v>
      </c>
      <c r="C72" s="4" t="s">
        <v>213</v>
      </c>
      <c r="D72" s="4" t="s">
        <v>214</v>
      </c>
      <c r="E72" s="4" t="s">
        <v>94</v>
      </c>
      <c r="F72" s="4" t="s">
        <v>170</v>
      </c>
    </row>
    <row r="73" spans="1:6" ht="75">
      <c r="A73" s="4" t="s">
        <v>289</v>
      </c>
      <c r="B73" s="4" t="s">
        <v>288</v>
      </c>
      <c r="C73" s="4" t="s">
        <v>290</v>
      </c>
      <c r="D73" s="4" t="s">
        <v>97</v>
      </c>
      <c r="E73" s="4" t="s">
        <v>94</v>
      </c>
      <c r="F73" s="4" t="s">
        <v>119</v>
      </c>
    </row>
    <row r="74" spans="1:6" ht="45">
      <c r="A74" s="4" t="s">
        <v>291</v>
      </c>
      <c r="B74" s="4" t="s">
        <v>288</v>
      </c>
      <c r="C74" s="4" t="s">
        <v>292</v>
      </c>
      <c r="D74" s="4" t="s">
        <v>97</v>
      </c>
      <c r="E74" s="4" t="s">
        <v>94</v>
      </c>
      <c r="F74" s="4" t="s">
        <v>293</v>
      </c>
    </row>
    <row r="75" spans="1:6" ht="45">
      <c r="A75" s="4" t="s">
        <v>294</v>
      </c>
      <c r="B75" s="4" t="s">
        <v>288</v>
      </c>
      <c r="C75" s="4" t="s">
        <v>295</v>
      </c>
      <c r="D75" s="4" t="s">
        <v>296</v>
      </c>
      <c r="E75" s="4" t="s">
        <v>94</v>
      </c>
      <c r="F75" s="4" t="s">
        <v>297</v>
      </c>
    </row>
    <row r="76" spans="1:6" ht="45">
      <c r="A76" s="4" t="s">
        <v>298</v>
      </c>
      <c r="B76" s="4" t="s">
        <v>288</v>
      </c>
      <c r="C76" s="4" t="s">
        <v>299</v>
      </c>
      <c r="D76" s="4" t="s">
        <v>296</v>
      </c>
      <c r="E76" s="4" t="s">
        <v>94</v>
      </c>
      <c r="F76" s="4" t="s">
        <v>240</v>
      </c>
    </row>
    <row r="77" spans="1:6" ht="45">
      <c r="A77" s="4" t="s">
        <v>300</v>
      </c>
      <c r="B77" s="4" t="s">
        <v>288</v>
      </c>
      <c r="C77" s="4" t="s">
        <v>301</v>
      </c>
      <c r="D77" s="4" t="s">
        <v>302</v>
      </c>
      <c r="E77" s="4" t="s">
        <v>94</v>
      </c>
      <c r="F77" s="4" t="s">
        <v>303</v>
      </c>
    </row>
    <row r="78" spans="1:6" ht="45">
      <c r="A78" s="4" t="s">
        <v>304</v>
      </c>
      <c r="B78" s="4" t="s">
        <v>288</v>
      </c>
      <c r="C78" s="4" t="s">
        <v>305</v>
      </c>
      <c r="D78" s="4" t="s">
        <v>302</v>
      </c>
      <c r="E78" s="4" t="s">
        <v>94</v>
      </c>
      <c r="F78" s="4" t="s">
        <v>303</v>
      </c>
    </row>
    <row r="79" spans="1:6" ht="79.5" customHeight="1">
      <c r="A79" s="4" t="s">
        <v>306</v>
      </c>
      <c r="B79" s="4" t="s">
        <v>288</v>
      </c>
      <c r="C79" s="4" t="s">
        <v>307</v>
      </c>
      <c r="D79" s="4" t="s">
        <v>133</v>
      </c>
      <c r="E79" s="4" t="s">
        <v>94</v>
      </c>
      <c r="F79" s="4" t="s">
        <v>260</v>
      </c>
    </row>
    <row r="80" spans="1:6" ht="45">
      <c r="A80" s="4" t="s">
        <v>308</v>
      </c>
      <c r="B80" s="4" t="s">
        <v>288</v>
      </c>
      <c r="C80" s="4" t="s">
        <v>309</v>
      </c>
      <c r="D80" s="4" t="s">
        <v>137</v>
      </c>
      <c r="E80" s="4" t="s">
        <v>94</v>
      </c>
      <c r="F80" s="4" t="s">
        <v>310</v>
      </c>
    </row>
    <row r="81" spans="1:6" ht="45">
      <c r="A81" s="4" t="s">
        <v>311</v>
      </c>
      <c r="B81" s="4" t="s">
        <v>288</v>
      </c>
      <c r="C81" s="4" t="s">
        <v>312</v>
      </c>
      <c r="D81" s="4" t="s">
        <v>183</v>
      </c>
      <c r="E81" s="4" t="s">
        <v>94</v>
      </c>
      <c r="F81" s="4" t="s">
        <v>240</v>
      </c>
    </row>
    <row r="82" spans="1:6" ht="45">
      <c r="A82" s="4" t="s">
        <v>313</v>
      </c>
      <c r="B82" s="4" t="s">
        <v>288</v>
      </c>
      <c r="C82" s="4" t="s">
        <v>242</v>
      </c>
      <c r="D82" s="4" t="s">
        <v>214</v>
      </c>
      <c r="E82" s="4" t="s">
        <v>144</v>
      </c>
      <c r="F82" s="4" t="s">
        <v>170</v>
      </c>
    </row>
    <row r="83" spans="1:6" ht="90">
      <c r="A83" s="4" t="s">
        <v>314</v>
      </c>
      <c r="B83" s="4" t="s">
        <v>288</v>
      </c>
      <c r="C83" s="4" t="s">
        <v>315</v>
      </c>
      <c r="D83" s="4" t="s">
        <v>316</v>
      </c>
      <c r="E83" s="4" t="s">
        <v>144</v>
      </c>
      <c r="F83" s="4" t="s">
        <v>317</v>
      </c>
    </row>
    <row r="84" spans="1:6" ht="90">
      <c r="A84" s="4" t="s">
        <v>318</v>
      </c>
      <c r="B84" s="4" t="s">
        <v>288</v>
      </c>
      <c r="C84" s="4" t="s">
        <v>319</v>
      </c>
      <c r="D84" s="4" t="s">
        <v>316</v>
      </c>
      <c r="E84" s="4" t="s">
        <v>144</v>
      </c>
      <c r="F84" s="4" t="s">
        <v>317</v>
      </c>
    </row>
    <row r="85" spans="1:6" ht="45">
      <c r="A85" s="4" t="s">
        <v>320</v>
      </c>
      <c r="B85" s="4" t="s">
        <v>288</v>
      </c>
      <c r="C85" s="4" t="s">
        <v>321</v>
      </c>
      <c r="D85" s="4" t="s">
        <v>97</v>
      </c>
      <c r="E85" s="4" t="s">
        <v>144</v>
      </c>
      <c r="F85" s="4" t="s">
        <v>322</v>
      </c>
    </row>
    <row r="86" spans="1:6" ht="45">
      <c r="A86" s="4" t="s">
        <v>323</v>
      </c>
      <c r="B86" s="4" t="s">
        <v>288</v>
      </c>
      <c r="C86" s="4" t="s">
        <v>324</v>
      </c>
      <c r="D86" s="4" t="s">
        <v>296</v>
      </c>
      <c r="E86" s="4" t="s">
        <v>204</v>
      </c>
      <c r="F86" s="4" t="s">
        <v>325</v>
      </c>
    </row>
    <row r="87" spans="1:6" ht="45">
      <c r="A87" s="4" t="s">
        <v>326</v>
      </c>
      <c r="B87" s="4" t="s">
        <v>288</v>
      </c>
      <c r="C87" s="4" t="s">
        <v>327</v>
      </c>
      <c r="D87" s="4" t="s">
        <v>302</v>
      </c>
      <c r="E87" s="4" t="s">
        <v>204</v>
      </c>
      <c r="F87" s="4" t="s">
        <v>328</v>
      </c>
    </row>
    <row r="88" spans="1:6" ht="45">
      <c r="A88" s="4" t="s">
        <v>329</v>
      </c>
      <c r="B88" s="4" t="s">
        <v>288</v>
      </c>
      <c r="C88" s="4" t="s">
        <v>330</v>
      </c>
      <c r="D88" s="4" t="s">
        <v>302</v>
      </c>
      <c r="E88" s="4" t="s">
        <v>204</v>
      </c>
      <c r="F88" s="4" t="s">
        <v>331</v>
      </c>
    </row>
    <row r="89" spans="1:6" ht="45">
      <c r="A89" s="4" t="s">
        <v>332</v>
      </c>
      <c r="B89" s="4" t="s">
        <v>288</v>
      </c>
      <c r="C89" s="4" t="s">
        <v>333</v>
      </c>
      <c r="D89" s="4" t="s">
        <v>263</v>
      </c>
      <c r="E89" s="4" t="s">
        <v>204</v>
      </c>
      <c r="F89" s="4" t="s">
        <v>334</v>
      </c>
    </row>
    <row r="90" spans="1:6" ht="45">
      <c r="A90" s="4" t="s">
        <v>335</v>
      </c>
      <c r="B90" s="4" t="s">
        <v>288</v>
      </c>
      <c r="C90" s="4" t="s">
        <v>336</v>
      </c>
      <c r="D90" s="4" t="s">
        <v>137</v>
      </c>
      <c r="E90" s="4" t="s">
        <v>204</v>
      </c>
      <c r="F90" s="4" t="s">
        <v>310</v>
      </c>
    </row>
    <row r="92" spans="1:6">
      <c r="C92" s="12"/>
    </row>
    <row r="93" spans="1:6">
      <c r="C93" s="12"/>
    </row>
    <row r="94" spans="1:6">
      <c r="C94" s="12"/>
    </row>
    <row r="95" spans="1:6">
      <c r="C95" s="12"/>
    </row>
    <row r="96" spans="1:6">
      <c r="C96" s="12"/>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ECDF4-A7CB-4E5D-A4DD-D7EA2052A645}">
  <dimension ref="A1:D24"/>
  <sheetViews>
    <sheetView workbookViewId="0">
      <selection activeCell="G3" sqref="G3"/>
    </sheetView>
  </sheetViews>
  <sheetFormatPr defaultColWidth="10.5703125" defaultRowHeight="15"/>
  <cols>
    <col min="1" max="1" width="10.5703125" style="3"/>
    <col min="2" max="2" width="16.140625" style="3" customWidth="1"/>
    <col min="3" max="3" width="98.42578125" customWidth="1"/>
    <col min="4" max="4" width="50.140625" customWidth="1"/>
  </cols>
  <sheetData>
    <row r="1" spans="1:4">
      <c r="A1" s="13" t="s">
        <v>84</v>
      </c>
      <c r="B1" s="13" t="s">
        <v>337</v>
      </c>
      <c r="C1" s="14" t="s">
        <v>338</v>
      </c>
      <c r="D1" s="14" t="s">
        <v>339</v>
      </c>
    </row>
    <row r="2" spans="1:4" ht="105">
      <c r="A2" s="15" t="s">
        <v>11</v>
      </c>
      <c r="B2" s="15" t="s">
        <v>340</v>
      </c>
      <c r="C2" s="7" t="s">
        <v>341</v>
      </c>
    </row>
    <row r="3" spans="1:4" ht="45">
      <c r="A3" s="15" t="s">
        <v>342</v>
      </c>
      <c r="B3" s="15" t="s">
        <v>340</v>
      </c>
      <c r="C3" s="7" t="s">
        <v>343</v>
      </c>
      <c r="D3" s="16" t="s">
        <v>344</v>
      </c>
    </row>
    <row r="4" spans="1:4" ht="60">
      <c r="A4" s="15" t="s">
        <v>76</v>
      </c>
      <c r="B4" s="15" t="s">
        <v>340</v>
      </c>
      <c r="C4" s="7" t="s">
        <v>345</v>
      </c>
    </row>
    <row r="5" spans="1:4" ht="30">
      <c r="A5" s="15" t="s">
        <v>346</v>
      </c>
      <c r="B5" s="15" t="s">
        <v>340</v>
      </c>
      <c r="C5" s="17" t="s">
        <v>347</v>
      </c>
    </row>
    <row r="6" spans="1:4" ht="45">
      <c r="A6" s="15" t="s">
        <v>348</v>
      </c>
      <c r="B6" s="15" t="s">
        <v>340</v>
      </c>
      <c r="C6" s="7" t="s">
        <v>349</v>
      </c>
    </row>
    <row r="7" spans="1:4" ht="45">
      <c r="A7" s="15" t="s">
        <v>350</v>
      </c>
      <c r="B7" s="15" t="s">
        <v>340</v>
      </c>
      <c r="C7" s="7" t="s">
        <v>351</v>
      </c>
      <c r="D7" s="16" t="s">
        <v>352</v>
      </c>
    </row>
    <row r="8" spans="1:4" ht="45">
      <c r="A8" s="15" t="s">
        <v>48</v>
      </c>
      <c r="B8" s="15" t="s">
        <v>340</v>
      </c>
      <c r="C8" s="7" t="s">
        <v>353</v>
      </c>
      <c r="D8" s="16" t="s">
        <v>354</v>
      </c>
    </row>
    <row r="9" spans="1:4" ht="90">
      <c r="A9" s="15" t="s">
        <v>355</v>
      </c>
      <c r="B9" s="15" t="s">
        <v>340</v>
      </c>
      <c r="C9" s="7" t="s">
        <v>356</v>
      </c>
    </row>
    <row r="10" spans="1:4" ht="30">
      <c r="A10" s="15" t="s">
        <v>13</v>
      </c>
      <c r="B10" s="15" t="s">
        <v>340</v>
      </c>
      <c r="C10" s="17" t="s">
        <v>357</v>
      </c>
    </row>
    <row r="11" spans="1:4" ht="30">
      <c r="A11" s="15" t="s">
        <v>358</v>
      </c>
      <c r="B11" s="15" t="s">
        <v>340</v>
      </c>
      <c r="C11" s="7" t="s">
        <v>359</v>
      </c>
      <c r="D11" s="16" t="s">
        <v>360</v>
      </c>
    </row>
    <row r="12" spans="1:4" ht="60">
      <c r="A12" s="15" t="s">
        <v>361</v>
      </c>
      <c r="B12" s="15" t="s">
        <v>340</v>
      </c>
      <c r="C12" s="7" t="s">
        <v>362</v>
      </c>
      <c r="D12" s="16" t="s">
        <v>363</v>
      </c>
    </row>
    <row r="13" spans="1:4" ht="60">
      <c r="A13" s="15" t="s">
        <v>364</v>
      </c>
      <c r="B13" s="15" t="s">
        <v>340</v>
      </c>
      <c r="C13" s="2" t="s">
        <v>365</v>
      </c>
      <c r="D13" s="18" t="s">
        <v>366</v>
      </c>
    </row>
    <row r="14" spans="1:4" ht="60">
      <c r="A14" s="15" t="s">
        <v>367</v>
      </c>
      <c r="B14" s="15" t="s">
        <v>340</v>
      </c>
      <c r="C14" s="7" t="s">
        <v>368</v>
      </c>
      <c r="D14" s="16" t="s">
        <v>369</v>
      </c>
    </row>
    <row r="15" spans="1:4" ht="30">
      <c r="A15" s="4" t="s">
        <v>68</v>
      </c>
      <c r="B15" s="4" t="s">
        <v>91</v>
      </c>
      <c r="C15" s="7" t="s">
        <v>370</v>
      </c>
      <c r="D15" s="4"/>
    </row>
    <row r="16" spans="1:4" ht="60">
      <c r="A16" s="4" t="s">
        <v>371</v>
      </c>
      <c r="B16" s="4" t="s">
        <v>155</v>
      </c>
      <c r="C16" s="7" t="s">
        <v>372</v>
      </c>
      <c r="D16" s="19" t="s">
        <v>373</v>
      </c>
    </row>
    <row r="17" spans="1:4" ht="45">
      <c r="A17" s="4" t="s">
        <v>374</v>
      </c>
      <c r="B17" s="4" t="s">
        <v>155</v>
      </c>
      <c r="C17" s="4" t="s">
        <v>375</v>
      </c>
      <c r="D17" s="4"/>
    </row>
    <row r="18" spans="1:4">
      <c r="A18" s="4" t="s">
        <v>376</v>
      </c>
      <c r="B18" s="4" t="s">
        <v>209</v>
      </c>
      <c r="C18" t="s">
        <v>377</v>
      </c>
      <c r="D18" s="4"/>
    </row>
    <row r="19" spans="1:4" ht="90">
      <c r="A19" s="4" t="s">
        <v>378</v>
      </c>
      <c r="B19" s="4" t="s">
        <v>253</v>
      </c>
      <c r="C19" s="4" t="s">
        <v>379</v>
      </c>
      <c r="D19" s="4"/>
    </row>
    <row r="20" spans="1:4" ht="30">
      <c r="A20" s="4" t="s">
        <v>380</v>
      </c>
      <c r="B20" s="4" t="s">
        <v>253</v>
      </c>
      <c r="C20" s="7" t="s">
        <v>381</v>
      </c>
      <c r="D20" s="4"/>
    </row>
    <row r="21" spans="1:4" ht="60">
      <c r="A21" s="4" t="s">
        <v>382</v>
      </c>
      <c r="B21" s="4" t="s">
        <v>253</v>
      </c>
      <c r="C21" s="7" t="s">
        <v>383</v>
      </c>
      <c r="D21" s="4"/>
    </row>
    <row r="22" spans="1:4" ht="30">
      <c r="A22" s="4" t="s">
        <v>384</v>
      </c>
      <c r="B22" s="4" t="s">
        <v>288</v>
      </c>
      <c r="C22" s="4" t="s">
        <v>385</v>
      </c>
      <c r="D22" s="4"/>
    </row>
    <row r="23" spans="1:4" ht="45">
      <c r="A23" s="4" t="s">
        <v>386</v>
      </c>
      <c r="B23" s="4" t="s">
        <v>288</v>
      </c>
      <c r="C23" s="7" t="s">
        <v>387</v>
      </c>
      <c r="D23" s="20" t="s">
        <v>388</v>
      </c>
    </row>
    <row r="24" spans="1:4" ht="90">
      <c r="A24" s="4" t="s">
        <v>389</v>
      </c>
      <c r="B24" s="4" t="s">
        <v>288</v>
      </c>
      <c r="C24" s="7" t="s">
        <v>390</v>
      </c>
      <c r="D24" s="4"/>
    </row>
  </sheetData>
  <hyperlinks>
    <hyperlink ref="D3" r:id="rId1" xr:uid="{5257F1AA-2623-43FD-862C-E73A042247CF}"/>
    <hyperlink ref="D7" r:id="rId2" xr:uid="{AF5F7AE3-EC6E-4644-8EB8-A9F8F1AC2D7B}"/>
    <hyperlink ref="D8" r:id="rId3" xr:uid="{7ED12E45-38BD-479B-9198-D82E1B09FBB7}"/>
    <hyperlink ref="D14" r:id="rId4" xr:uid="{95B52AF2-D175-4113-8AA8-909D0C93E783}"/>
    <hyperlink ref="D11" r:id="rId5" xr:uid="{D9191417-65E7-4E37-BEAE-9A415AE6FA25}"/>
    <hyperlink ref="D12" r:id="rId6" xr:uid="{77798215-3B18-4E21-813B-4659EC40638A}"/>
    <hyperlink ref="D23" r:id="rId7" xr:uid="{A8C0EE18-5680-4EE5-B95A-02CB779BFA5D}"/>
    <hyperlink ref="D16" r:id="rId8" xr:uid="{F5E2700C-46CB-43CA-914F-F6529B2EB004}"/>
    <hyperlink ref="D13" r:id="rId9" xr:uid="{BE6AC79C-F911-4C0F-A662-52C20B790036}"/>
  </hyperlinks>
  <pageMargins left="0.7" right="0.7" top="0.75" bottom="0.75" header="0.3" footer="0.3"/>
  <tableParts count="1">
    <tablePart r:id="rId10"/>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61"/>
  <sheetViews>
    <sheetView topLeftCell="A26" zoomScale="65" zoomScaleNormal="65" workbookViewId="0">
      <selection activeCell="B35" sqref="B35"/>
    </sheetView>
  </sheetViews>
  <sheetFormatPr defaultRowHeight="15"/>
  <cols>
    <col min="1" max="1" width="23.42578125" customWidth="1"/>
    <col min="2" max="2" width="17.7109375" customWidth="1"/>
    <col min="3" max="3" width="21.5703125" customWidth="1"/>
    <col min="4" max="4" width="12" customWidth="1"/>
  </cols>
  <sheetData>
    <row r="1" spans="1:4">
      <c r="A1" s="1" t="s">
        <v>3</v>
      </c>
      <c r="B1" s="1" t="s">
        <v>77</v>
      </c>
      <c r="C1" s="1" t="s">
        <v>391</v>
      </c>
      <c r="D1" s="1" t="s">
        <v>78</v>
      </c>
    </row>
    <row r="2" spans="1:4">
      <c r="A2" t="s">
        <v>8</v>
      </c>
      <c r="B2">
        <f>SUMIF('3. Scan'!D4:D49,"Governance",'3. Scan'!E4:E49)</f>
        <v>5</v>
      </c>
      <c r="C2">
        <f>COUNTIF('3. Scan'!D4:D49,"Governance")*5</f>
        <v>25</v>
      </c>
      <c r="D2">
        <f>IF(C2=0,0,B2/C2)</f>
        <v>0.2</v>
      </c>
    </row>
    <row r="3" spans="1:4">
      <c r="A3" t="s">
        <v>21</v>
      </c>
      <c r="B3">
        <f>SUMIF('3. Scan'!D4:D49,"Metadata",'3. Scan'!E4:E49)</f>
        <v>7</v>
      </c>
      <c r="C3">
        <f>COUNTIF('3. Scan'!D4:D49,"Metadata")*5</f>
        <v>35</v>
      </c>
      <c r="D3">
        <f>IF(C3=0,0,B3/C3)</f>
        <v>0.2</v>
      </c>
    </row>
    <row r="4" spans="1:4">
      <c r="A4" t="s">
        <v>36</v>
      </c>
      <c r="B4">
        <f>SUMIF('3. Scan'!D:D,"Techniek",'3. Scan'!E:E)</f>
        <v>6</v>
      </c>
      <c r="C4">
        <f>COUNTIF('3. Scan'!D4:D49,"Techniek")*5</f>
        <v>30</v>
      </c>
      <c r="D4">
        <f>IF(C4=0,0,B4/C4)</f>
        <v>0.2</v>
      </c>
    </row>
    <row r="5" spans="1:4">
      <c r="A5" t="s">
        <v>18</v>
      </c>
      <c r="B5">
        <f>SUMIF('3. Scan'!D4:D49,"Lifecycle",'3. Scan'!E4:E49)</f>
        <v>9</v>
      </c>
      <c r="C5">
        <f>COUNTIF('3. Scan'!D4:D49,"Lifecycle")*5</f>
        <v>45</v>
      </c>
      <c r="D5">
        <f>IF(C5=0,0,B5/C5)</f>
        <v>0.2</v>
      </c>
    </row>
    <row r="6" spans="1:4">
      <c r="A6" t="s">
        <v>47</v>
      </c>
      <c r="B6">
        <f>SUMIF('3. Scan'!D4:D49,"Toegang",'3. Scan'!E4:E49)</f>
        <v>5</v>
      </c>
      <c r="C6">
        <f>COUNTIF('3. Scan'!D4:D49,"Toegang")*5</f>
        <v>25</v>
      </c>
      <c r="D6">
        <f>IF(C6=0,0,B6/C6)</f>
        <v>0.2</v>
      </c>
    </row>
    <row r="13" spans="1:4">
      <c r="A13" s="6" t="s">
        <v>2</v>
      </c>
      <c r="B13" s="6" t="s">
        <v>77</v>
      </c>
      <c r="C13" s="6" t="s">
        <v>391</v>
      </c>
      <c r="D13" s="6" t="s">
        <v>78</v>
      </c>
    </row>
    <row r="14" spans="1:4">
      <c r="A14" s="7" t="s">
        <v>83</v>
      </c>
      <c r="B14" s="7" t="str">
        <f>IFERROR(AVERAGEIF('3. Scan'!C:C,"Governance &amp; beheer",'3. Scan'!E:E)/5,"")</f>
        <v/>
      </c>
    </row>
    <row r="15" spans="1:4">
      <c r="A15" s="7" t="s">
        <v>17</v>
      </c>
      <c r="B15">
        <f>IFERROR(AVERAGEIF('3. Scan'!C:C,"Registratie en metadata",'3. Scan'!E:E)/5,"")</f>
        <v>0.2</v>
      </c>
    </row>
    <row r="16" spans="1:4">
      <c r="A16" s="7" t="s">
        <v>28</v>
      </c>
      <c r="B16">
        <f>IFERROR(AVERAGEIF('3. Scan'!C:C,"Structuur en classificatie",'3. Scan'!E:E)/5,"")</f>
        <v>0.2</v>
      </c>
    </row>
    <row r="17" spans="1:4">
      <c r="A17" s="7" t="s">
        <v>35</v>
      </c>
      <c r="B17">
        <f>SUMIF('3. Scan'!C:C,"Bewaren en integriteit",'3. Scan'!E:E)</f>
        <v>8</v>
      </c>
    </row>
    <row r="18" spans="1:4">
      <c r="A18" s="7" t="s">
        <v>50</v>
      </c>
      <c r="B18">
        <f>IFERROR(AVERAGEIF('3. Scan'!C:C,"Toegang en beveiliging",'3. Scan'!E:E)/5,"")</f>
        <v>0.2</v>
      </c>
    </row>
    <row r="19" spans="1:4" ht="30">
      <c r="A19" s="7" t="s">
        <v>56</v>
      </c>
      <c r="B19">
        <f>IFERROR(AVERAGEIF('3. Scan'!C:C,"Beschikbaarheid en gebruik",'3. Scan'!E:E)/5,"")</f>
        <v>0.2</v>
      </c>
    </row>
    <row r="20" spans="1:4">
      <c r="A20" s="7" t="s">
        <v>63</v>
      </c>
      <c r="B20">
        <f>IFERROR(AVERAGEIF('3. Scan'!C:C,"Beheerprocessen",'3. Scan'!E:E)/5,"")</f>
        <v>0.2</v>
      </c>
    </row>
    <row r="21" spans="1:4" ht="30">
      <c r="A21" s="7" t="s">
        <v>70</v>
      </c>
      <c r="B21">
        <f>IFERROR(AVERAGEIF('3. Scan'!C:C,"Kwaliteitscontrole informatiebeheer",'3. Scan'!E:E)/5,"")</f>
        <v>0.2</v>
      </c>
    </row>
    <row r="24" spans="1:4">
      <c r="A24" s="6" t="s">
        <v>392</v>
      </c>
      <c r="B24" s="6" t="s">
        <v>77</v>
      </c>
      <c r="C24" s="6" t="s">
        <v>391</v>
      </c>
      <c r="D24" s="6" t="s">
        <v>78</v>
      </c>
    </row>
    <row r="25" spans="1:4">
      <c r="A25" t="s">
        <v>397</v>
      </c>
      <c r="B25">
        <f>IFERROR(AVERAGEIF('3. Scan'!F:F,A25,'3. Scan'!E:E)/5,"")</f>
        <v>0.2</v>
      </c>
    </row>
    <row r="26" spans="1:4">
      <c r="A26" t="s">
        <v>395</v>
      </c>
      <c r="B26">
        <f>IFERROR(AVERAGEIF('3. Scan'!F:F,A26,'3. Scan'!E:E)/5,"")</f>
        <v>0.2</v>
      </c>
    </row>
    <row r="27" spans="1:4">
      <c r="A27" t="s">
        <v>400</v>
      </c>
      <c r="B27">
        <f>IFERROR(AVERAGEIF('3. Scan'!F:F,A27,'3. Scan'!E:E)/5,"")</f>
        <v>0.2</v>
      </c>
    </row>
    <row r="28" spans="1:4">
      <c r="A28" t="s">
        <v>396</v>
      </c>
      <c r="B28">
        <f>IFERROR(AVERAGEIF('3. Scan'!F:F,A28,'3. Scan'!E:E)/5,"")</f>
        <v>0.2</v>
      </c>
    </row>
    <row r="29" spans="1:4">
      <c r="A29" t="s">
        <v>393</v>
      </c>
      <c r="B29">
        <f>IFERROR(AVERAGEIF('3. Scan'!F:F,A29,'3. Scan'!E:E)/5,"")</f>
        <v>0.2</v>
      </c>
    </row>
    <row r="30" spans="1:4">
      <c r="A30" t="s">
        <v>394</v>
      </c>
      <c r="B30">
        <f>IFERROR(AVERAGEIF('3. Scan'!F:F,A30,'3. Scan'!E:E)/5,"")</f>
        <v>0.2</v>
      </c>
    </row>
    <row r="34" spans="1:2">
      <c r="A34" s="6" t="s">
        <v>412</v>
      </c>
      <c r="B34" s="6" t="s">
        <v>77</v>
      </c>
    </row>
    <row r="35" spans="1:2">
      <c r="A35" s="21" t="s">
        <v>93</v>
      </c>
      <c r="B35">
        <f>IFERROR(AVERAGEIF('3. Scan'!G:G,"*"&amp;A35&amp;"*",'3. Scan'!E:E)/5,"")</f>
        <v>0.2</v>
      </c>
    </row>
    <row r="36" spans="1:2">
      <c r="A36" s="21" t="s">
        <v>211</v>
      </c>
      <c r="B36">
        <f>IFERROR(AVERAGEIF('3. Scan'!G:G,"*"&amp;A36&amp;"*",'3. Scan'!E:E)/5,"")</f>
        <v>0.2</v>
      </c>
    </row>
    <row r="37" spans="1:2">
      <c r="A37" s="21" t="s">
        <v>214</v>
      </c>
      <c r="B37">
        <f>IFERROR(AVERAGEIF('3. Scan'!G:G,"*"&amp;A37&amp;"*",'3. Scan'!E:E)/5,"")</f>
        <v>0.2</v>
      </c>
    </row>
    <row r="38" spans="1:2">
      <c r="A38" s="21" t="s">
        <v>316</v>
      </c>
      <c r="B38">
        <f>IFERROR(AVERAGEIF('3. Scan'!G:G,"*"&amp;A38&amp;"*",'3. Scan'!E:E)/5,"")</f>
        <v>0.2</v>
      </c>
    </row>
    <row r="39" spans="1:2">
      <c r="A39" s="21" t="s">
        <v>97</v>
      </c>
      <c r="B39">
        <f>IFERROR(AVERAGEIF('3. Scan'!G:G,"*"&amp;A39&amp;"*",'3. Scan'!E:E)/5,"")</f>
        <v>0.2</v>
      </c>
    </row>
    <row r="40" spans="1:2">
      <c r="A40" s="21" t="s">
        <v>122</v>
      </c>
      <c r="B40">
        <f>IFERROR(AVERAGEIF('3. Scan'!G:G,"*"&amp;A40&amp;"*",'3. Scan'!E:E)/5,"")</f>
        <v>0.2</v>
      </c>
    </row>
    <row r="41" spans="1:2">
      <c r="A41" s="21" t="s">
        <v>129</v>
      </c>
      <c r="B41">
        <f>IFERROR(AVERAGEIF('3. Scan'!G:G,"*"&amp;A41&amp;"*",'3. Scan'!E:E)/5,"")</f>
        <v>0.2</v>
      </c>
    </row>
    <row r="42" spans="1:2">
      <c r="A42" s="21" t="s">
        <v>296</v>
      </c>
      <c r="B42">
        <f>IFERROR(AVERAGEIF('3. Scan'!G:G,"*"&amp;A42&amp;"*",'3. Scan'!E:E)/5,"")</f>
        <v>0.2</v>
      </c>
    </row>
    <row r="43" spans="1:2">
      <c r="A43" s="21" t="s">
        <v>302</v>
      </c>
      <c r="B43">
        <f>IFERROR(AVERAGEIF('3. Scan'!G:G,"*"&amp;A43&amp;"*",'3. Scan'!E:E)/5,"")</f>
        <v>0.2</v>
      </c>
    </row>
    <row r="44" spans="1:2">
      <c r="A44" s="21" t="s">
        <v>133</v>
      </c>
      <c r="B44">
        <f>IFERROR(AVERAGEIF('3. Scan'!G:G,"*"&amp;A44&amp;"*",'3. Scan'!E:E)/5,"")</f>
        <v>0.2</v>
      </c>
    </row>
    <row r="45" spans="1:2">
      <c r="A45" s="21" t="s">
        <v>263</v>
      </c>
      <c r="B45">
        <f>IFERROR(AVERAGEIF('3. Scan'!G:G,"*"&amp;A45&amp;"*",'3. Scan'!E:E)/5,"")</f>
        <v>0.2</v>
      </c>
    </row>
    <row r="46" spans="1:2">
      <c r="A46" s="21" t="s">
        <v>137</v>
      </c>
      <c r="B46">
        <f>IFERROR(AVERAGEIF('3. Scan'!G:G,"*"&amp;A46&amp;"*",'3. Scan'!E:E)/5,"")</f>
        <v>0.2</v>
      </c>
    </row>
    <row r="47" spans="1:2">
      <c r="A47" s="21" t="s">
        <v>169</v>
      </c>
      <c r="B47">
        <f>IFERROR(AVERAGEIF('3. Scan'!G:G,"*"&amp;A47&amp;"*",'3. Scan'!E:E)/5,"")</f>
        <v>0.2</v>
      </c>
    </row>
    <row r="48" spans="1:2">
      <c r="A48" s="21" t="s">
        <v>176</v>
      </c>
      <c r="B48">
        <f>IFERROR(AVERAGEIF('3. Scan'!G:G,"*"&amp;A48&amp;"*",'3. Scan'!E:E)/5,"")</f>
        <v>0.2</v>
      </c>
    </row>
    <row r="49" spans="1:4">
      <c r="A49" s="21" t="s">
        <v>183</v>
      </c>
      <c r="B49">
        <f>IFERROR(AVERAGEIF('3. Scan'!G:G,"*"&amp;A49&amp;"*",'3. Scan'!E:E)/5,"")</f>
        <v>0.2</v>
      </c>
    </row>
    <row r="52" spans="1:4">
      <c r="A52" s="6" t="s">
        <v>734</v>
      </c>
      <c r="B52" t="s">
        <v>741</v>
      </c>
      <c r="C52" t="s">
        <v>742</v>
      </c>
      <c r="D52" t="s">
        <v>743</v>
      </c>
    </row>
    <row r="54" spans="1:4">
      <c r="A54" t="s">
        <v>719</v>
      </c>
      <c r="B54">
        <f>COUNTIF('3. Scan'!I:I,"Must")</f>
        <v>27</v>
      </c>
      <c r="C54">
        <f>COUNTIFS('3. Scan'!I:I,"Must",'3. Scan'!E:E,"&gt;=4")</f>
        <v>0</v>
      </c>
      <c r="D54" s="62">
        <f>C54/B54</f>
        <v>0</v>
      </c>
    </row>
    <row r="55" spans="1:4">
      <c r="A55" t="s">
        <v>735</v>
      </c>
      <c r="B55">
        <f>COUNTIF('3. Scan'!I:I,"Should")</f>
        <v>2</v>
      </c>
      <c r="C55">
        <f>COUNTIFS('3. Scan'!I:I,"Should",'3. Scan'!E:E,"&gt;=4")</f>
        <v>0</v>
      </c>
      <c r="D55" s="62">
        <f>C55/B55</f>
        <v>0</v>
      </c>
    </row>
    <row r="56" spans="1:4">
      <c r="A56" t="s">
        <v>736</v>
      </c>
      <c r="B56">
        <f>COUNTIF('3. Scan'!I:I,"Could")</f>
        <v>4</v>
      </c>
      <c r="C56">
        <f>COUNTIFS('3. Scan'!I:I,"Could",'3. Scan'!E:E,"&gt;=4")</f>
        <v>0</v>
      </c>
      <c r="D56" s="62">
        <f>C56/B56</f>
        <v>0</v>
      </c>
    </row>
    <row r="57" spans="1:4">
      <c r="A57" t="s">
        <v>737</v>
      </c>
      <c r="B57">
        <f>COUNTIF('3. Scan'!I:I,"Would")</f>
        <v>0</v>
      </c>
      <c r="C57">
        <f>COUNTIFS('3. Scan'!I:I,"Would",'3. Scan'!E:E,"&gt;=4")</f>
        <v>0</v>
      </c>
      <c r="D57" s="62" t="e">
        <f>C57/B57</f>
        <v>#DIV/0!</v>
      </c>
    </row>
    <row r="60" spans="1:4">
      <c r="B60" s="7"/>
    </row>
    <row r="61" spans="1:4">
      <c r="B61" s="53"/>
    </row>
  </sheetData>
  <sortState xmlns:xlrd2="http://schemas.microsoft.com/office/spreadsheetml/2017/richdata2" ref="A36:A49">
    <sortCondition ref="A35:A49"/>
  </sortState>
  <pageMargins left="0.75" right="0.75" top="1" bottom="1" header="0.5" footer="0.5"/>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D6445BA3C74B64CB24BD46D476EC34F" ma:contentTypeVersion="2" ma:contentTypeDescription="Een nieuw document maken." ma:contentTypeScope="" ma:versionID="26dcf029a9434bb6d86c163643fc1a95">
  <xsd:schema xmlns:xsd="http://www.w3.org/2001/XMLSchema" xmlns:xs="http://www.w3.org/2001/XMLSchema" xmlns:p="http://schemas.microsoft.com/office/2006/metadata/properties" xmlns:ns2="a0e915a0-ab93-4378-bd5d-75f7319e2c48" targetNamespace="http://schemas.microsoft.com/office/2006/metadata/properties" ma:root="true" ma:fieldsID="9287ee8a8c61a413bb7c84b0fb26a5b9" ns2:_="">
    <xsd:import namespace="a0e915a0-ab93-4378-bd5d-75f7319e2c48"/>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e915a0-ab93-4378-bd5d-75f7319e2c48"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A84724C-9362-466B-A1BD-5A82776C2EDB}">
  <ds:schemaRefs>
    <ds:schemaRef ds:uri="http://schemas.microsoft.com/sharepoint/v3/contenttype/forms"/>
  </ds:schemaRefs>
</ds:datastoreItem>
</file>

<file path=customXml/itemProps2.xml><?xml version="1.0" encoding="utf-8"?>
<ds:datastoreItem xmlns:ds="http://schemas.openxmlformats.org/officeDocument/2006/customXml" ds:itemID="{C7E85B33-3F9D-498C-8BA7-57F16EF6659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70B356ED-20D2-4120-A23A-BA39173779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e915a0-ab93-4378-bd5d-75f7319e2c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9</vt:i4>
      </vt:variant>
    </vt:vector>
  </HeadingPairs>
  <TitlesOfParts>
    <vt:vector size="9" baseType="lpstr">
      <vt:lpstr>1. Leeswijzer</vt:lpstr>
      <vt:lpstr>2. Toelichting score en vragen</vt:lpstr>
      <vt:lpstr>3. Scan</vt:lpstr>
      <vt:lpstr>4. Dashboard</vt:lpstr>
      <vt:lpstr>5. Risico en impact</vt:lpstr>
      <vt:lpstr>6. Overzicht Risico Functie</vt:lpstr>
      <vt:lpstr>7. Modeleisen DUTO</vt:lpstr>
      <vt:lpstr>8. Randvoorwaarden DUTO</vt:lpstr>
      <vt:lpstr>Analyse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Heijnis, P.L. (Paulien)</cp:lastModifiedBy>
  <cp:revision/>
  <dcterms:created xsi:type="dcterms:W3CDTF">2026-03-16T09:12:22Z</dcterms:created>
  <dcterms:modified xsi:type="dcterms:W3CDTF">2026-08-25T07:49:14Z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0x0101005D6445BA3C74B64CB24BD46D476EC34F</vt:lpwstr>
  </property>
</Properties>
</file>